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105" windowWidth="12120" windowHeight="9120" activeTab="4"/>
  </bookViews>
  <sheets>
    <sheet name="Instruções" sheetId="1" r:id="rId1"/>
    <sheet name="Meteog." sheetId="2" r:id="rId2"/>
    <sheet name="Sond." sheetId="3" r:id="rId3"/>
    <sheet name="Análise" sheetId="4" r:id="rId4"/>
    <sheet name="Resumo" sheetId="5" r:id="rId5"/>
    <sheet name="Gabarito" sheetId="6" r:id="rId6"/>
  </sheets>
  <definedNames>
    <definedName name="_xlnm.Print_Area" localSheetId="4">'Resumo'!$B$3:$J$17</definedName>
  </definedNames>
  <calcPr fullCalcOnLoad="1"/>
</workbook>
</file>

<file path=xl/sharedStrings.xml><?xml version="1.0" encoding="utf-8"?>
<sst xmlns="http://schemas.openxmlformats.org/spreadsheetml/2006/main" count="241" uniqueCount="175">
  <si>
    <t>PO</t>
  </si>
  <si>
    <t>T</t>
  </si>
  <si>
    <t>Altura mts</t>
  </si>
  <si>
    <t>2 000</t>
  </si>
  <si>
    <t>1 500</t>
  </si>
  <si>
    <t>1 000</t>
  </si>
  <si>
    <t>UR (%)</t>
  </si>
  <si>
    <t>m</t>
  </si>
  <si>
    <t>H agl</t>
  </si>
  <si>
    <t>Adiab. Seca</t>
  </si>
  <si>
    <t>Tsolo</t>
  </si>
  <si>
    <t>HORA</t>
  </si>
  <si>
    <t>Hora Z</t>
  </si>
  <si>
    <t>Hora</t>
  </si>
  <si>
    <t>delta T</t>
  </si>
  <si>
    <t>H asl</t>
  </si>
  <si>
    <t>TIC</t>
  </si>
  <si>
    <t>H base</t>
  </si>
  <si>
    <t>H =</t>
  </si>
  <si>
    <t xml:space="preserve">        T x H</t>
  </si>
  <si>
    <t>Adiabáticas</t>
  </si>
  <si>
    <t>pbeb =</t>
  </si>
  <si>
    <t>lat =</t>
  </si>
  <si>
    <t>long =</t>
  </si>
  <si>
    <t>Núvem</t>
  </si>
  <si>
    <t xml:space="preserve">    Sondagem de Satélite</t>
  </si>
  <si>
    <t>UR est.</t>
  </si>
  <si>
    <t>Cheque do P Orvalho</t>
  </si>
  <si>
    <t>T est.</t>
  </si>
  <si>
    <t>PO est.</t>
  </si>
  <si>
    <t xml:space="preserve"> Tic/8oo m</t>
  </si>
  <si>
    <t>H x T</t>
  </si>
  <si>
    <r>
      <t>1 - Obter as previsões de temperatura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 xml:space="preserve">C)e umidade (%) ao longo do dia (hora Zulu) a partir </t>
    </r>
  </si>
  <si>
    <t xml:space="preserve">        Delta hora Z =</t>
  </si>
  <si>
    <t>Altura da térmica (m)</t>
  </si>
  <si>
    <t xml:space="preserve">Intensidade estimada ( m/s) </t>
  </si>
  <si>
    <t>Estatística publicada na Tech. Soaring</t>
  </si>
  <si>
    <t xml:space="preserve">     Obs: Os dados da sondagem por avião ou balão (se houver) irão automaticamernte </t>
  </si>
  <si>
    <t xml:space="preserve">    Para isso, use um termómetro colocado em local a sombra e ventilado, ou consulte uma</t>
  </si>
  <si>
    <t xml:space="preserve">    de delta T entre as temperturas estimadas (meteog.) e as reais e insira na célula E26 </t>
  </si>
  <si>
    <t xml:space="preserve">    estação meteorológica próxima, que mostre os resultados na internet*. Escolha um valor</t>
  </si>
  <si>
    <t>2 - Se possível, meça a evolução inicial da temperatura real e insira em de D13, 14, etc..</t>
  </si>
  <si>
    <r>
      <t xml:space="preserve">    * ver </t>
    </r>
    <r>
      <rPr>
        <b/>
        <sz val="10"/>
        <color indexed="12"/>
        <rFont val="Arial"/>
        <family val="2"/>
      </rPr>
      <t>http://satelite.cptec.inpe.br/PCD/</t>
    </r>
    <r>
      <rPr>
        <b/>
        <sz val="10"/>
        <rFont val="Arial"/>
        <family val="2"/>
      </rPr>
      <t xml:space="preserve"> , ou também</t>
    </r>
  </si>
  <si>
    <r>
      <t xml:space="preserve">      </t>
    </r>
    <r>
      <rPr>
        <b/>
        <sz val="10"/>
        <color indexed="12"/>
        <rFont val="Arial"/>
        <family val="2"/>
      </rPr>
      <t>http://www.inmet.gov.br/sonabra/maps/automaticas.php</t>
    </r>
  </si>
  <si>
    <r>
      <t xml:space="preserve">     ou em </t>
    </r>
    <r>
      <rPr>
        <b/>
        <sz val="10"/>
        <color indexed="12"/>
        <rFont val="Arial"/>
        <family val="2"/>
      </rPr>
      <t>http://www.arl.noaa.gov/ready/cmet.html</t>
    </r>
    <r>
      <rPr>
        <b/>
        <sz val="10"/>
        <rFont val="Arial"/>
        <family val="2"/>
      </rPr>
      <t xml:space="preserve"> Fornecer a latidude e longitude</t>
    </r>
  </si>
  <si>
    <r>
      <t xml:space="preserve">    feitas  por satélites*, balões*, ou avião e inserir nas células verdes da planilha </t>
    </r>
    <r>
      <rPr>
        <b/>
        <i/>
        <sz val="10"/>
        <rFont val="Arial"/>
        <family val="2"/>
      </rPr>
      <t>Sond</t>
    </r>
    <r>
      <rPr>
        <b/>
        <sz val="10"/>
        <rFont val="Arial"/>
        <family val="2"/>
      </rPr>
      <t>.</t>
    </r>
  </si>
  <si>
    <t>3 - Obter os dados de temperatura em funçao da altitude e altura a partir de sondagens</t>
  </si>
  <si>
    <t xml:space="preserve">     prevalecer sobre os de satélite, para as alturas ou altitudes, que forem fornecidos.</t>
  </si>
  <si>
    <r>
      <t xml:space="preserve">4 -  Ir para a planilha </t>
    </r>
    <r>
      <rPr>
        <b/>
        <i/>
        <sz val="10"/>
        <rFont val="Arial"/>
        <family val="2"/>
      </rPr>
      <t xml:space="preserve">Análise, </t>
    </r>
    <r>
      <rPr>
        <b/>
        <sz val="10"/>
        <rFont val="Arial"/>
        <family val="2"/>
      </rPr>
      <t xml:space="preserve">na qual vai aparecer: </t>
    </r>
  </si>
  <si>
    <r>
      <t xml:space="preserve">    - Uma linha </t>
    </r>
    <r>
      <rPr>
        <b/>
        <sz val="10"/>
        <color indexed="10"/>
        <rFont val="Arial"/>
        <family val="2"/>
      </rPr>
      <t>vermelha</t>
    </r>
    <r>
      <rPr>
        <b/>
        <sz val="10"/>
        <rFont val="Arial"/>
        <family val="2"/>
      </rPr>
      <t xml:space="preserve">, com temperaturas do ar x alturas sobre o solo (agl) </t>
    </r>
  </si>
  <si>
    <r>
      <t xml:space="preserve">    - Uma linha </t>
    </r>
    <r>
      <rPr>
        <b/>
        <sz val="10"/>
        <color indexed="12"/>
        <rFont val="Arial"/>
        <family val="2"/>
      </rPr>
      <t>azul - - -</t>
    </r>
    <r>
      <rPr>
        <b/>
        <sz val="10"/>
        <rFont val="Arial"/>
        <family val="2"/>
      </rPr>
      <t xml:space="preserve"> mostrando as temperauras do ponto de orvalho dentro das térmicas.</t>
    </r>
  </si>
  <si>
    <t xml:space="preserve">    - Uma linha preta (adiabática seca) ligando a temperatura a 800 m ao solo mostrando a Tic,</t>
  </si>
  <si>
    <t xml:space="preserve">     Quanto maior for a diferença média de temperatura entre as curvas vermelha e verde, bem</t>
  </si>
  <si>
    <t xml:space="preserve">     como a altura total da térmica, mais fortes serão as térmicas. Uma estimatíva da intensidade</t>
  </si>
  <si>
    <t xml:space="preserve">     média pode ser feita inserindo-se a altura da térmica na célula F 26.</t>
  </si>
  <si>
    <t>5 - Fazer a análise inserindo horas (&gt; Hic) na célula F20. Para cada hora irá sugir uma linha</t>
  </si>
  <si>
    <r>
      <t xml:space="preserve">     </t>
    </r>
    <r>
      <rPr>
        <b/>
        <sz val="10"/>
        <color indexed="17"/>
        <rFont val="Arial"/>
        <family val="2"/>
      </rPr>
      <t>verde</t>
    </r>
    <r>
      <rPr>
        <b/>
        <sz val="10"/>
        <rFont val="Arial"/>
        <family val="2"/>
      </rPr>
      <t xml:space="preserve"> (adiabática seca), que </t>
    </r>
    <r>
      <rPr>
        <b/>
        <u val="single"/>
        <sz val="10"/>
        <rFont val="Arial"/>
        <family val="2"/>
      </rPr>
      <t>se</t>
    </r>
    <r>
      <rPr>
        <b/>
        <sz val="10"/>
        <rFont val="Arial"/>
        <family val="2"/>
      </rPr>
      <t xml:space="preserve"> encontrar a linha azul, vai mudar de direção (adiabática</t>
    </r>
  </si>
  <si>
    <t xml:space="preserve">     de encontro e deflexão. Não ocorrendo esse encontro a térmica será do tipo seca.</t>
  </si>
  <si>
    <t xml:space="preserve">     úmida) indicando a formação de núvem sendo a altura da base coincidente com a do ponto</t>
  </si>
  <si>
    <t xml:space="preserve">     Uma estimativa da altura total, tanto das térmicas secas como das úmidas (topo da núvem),</t>
  </si>
  <si>
    <t>Ponto</t>
  </si>
  <si>
    <t>P (mb)</t>
  </si>
  <si>
    <t>NOTA: Pressões em mb, alturas e altitudes em metros e temperaturas em graus C.</t>
  </si>
  <si>
    <t>NOTA: Usar temperaturas em graus C.</t>
  </si>
  <si>
    <r>
      <t xml:space="preserve">    - Linha </t>
    </r>
    <r>
      <rPr>
        <b/>
        <sz val="10"/>
        <color indexed="10"/>
        <rFont val="Arial"/>
        <family val="2"/>
      </rPr>
      <t>vermelha</t>
    </r>
    <r>
      <rPr>
        <b/>
        <sz val="10"/>
        <rFont val="Arial"/>
        <family val="2"/>
      </rPr>
      <t xml:space="preserve">, com temperaturas do ar x alturas sobre o solo (agl) </t>
    </r>
  </si>
  <si>
    <r>
      <t xml:space="preserve">    - Linha </t>
    </r>
    <r>
      <rPr>
        <b/>
        <sz val="10"/>
        <color indexed="12"/>
        <rFont val="Arial"/>
        <family val="2"/>
      </rPr>
      <t>azul - - -</t>
    </r>
    <r>
      <rPr>
        <b/>
        <sz val="10"/>
        <rFont val="Arial"/>
        <family val="2"/>
      </rPr>
      <t xml:space="preserve"> mostrando as temperauras do ponto de orvalho dentro das térmicas.</t>
    </r>
  </si>
  <si>
    <t xml:space="preserve">    - Linha preta (adiabática seca) ligando a temperatura a 800 m ao solo mostrando a Tic,</t>
  </si>
  <si>
    <t xml:space="preserve">  Sond. Avião/balão</t>
  </si>
  <si>
    <t>Adiab.(seca+úmida)</t>
  </si>
  <si>
    <r>
      <t xml:space="preserve">     é dada pelo encontro* das curvas </t>
    </r>
    <r>
      <rPr>
        <b/>
        <sz val="10"/>
        <color indexed="17"/>
        <rFont val="Arial"/>
        <family val="2"/>
      </rPr>
      <t>verde (temp. dentro da térmica)</t>
    </r>
    <r>
      <rPr>
        <b/>
        <sz val="10"/>
        <rFont val="Arial"/>
        <family val="2"/>
      </rPr>
      <t xml:space="preserve">, e </t>
    </r>
    <r>
      <rPr>
        <b/>
        <sz val="10"/>
        <color indexed="10"/>
        <rFont val="Arial"/>
        <family val="2"/>
      </rPr>
      <t>vermelha (temp. do ar)</t>
    </r>
    <r>
      <rPr>
        <b/>
        <sz val="10"/>
        <rFont val="Arial"/>
        <family val="2"/>
      </rPr>
      <t>.</t>
    </r>
  </si>
  <si>
    <t xml:space="preserve">    * primeiro ponto de encontro</t>
  </si>
  <si>
    <r>
      <t xml:space="preserve">     é dada pelo encontro** das curvas </t>
    </r>
    <r>
      <rPr>
        <b/>
        <sz val="10"/>
        <color indexed="17"/>
        <rFont val="Arial"/>
        <family val="2"/>
      </rPr>
      <t>verde (temp. dentro da térmica)</t>
    </r>
    <r>
      <rPr>
        <b/>
        <sz val="10"/>
        <rFont val="Arial"/>
        <family val="2"/>
      </rPr>
      <t xml:space="preserve">, e </t>
    </r>
    <r>
      <rPr>
        <b/>
        <sz val="10"/>
        <color indexed="10"/>
        <rFont val="Arial"/>
        <family val="2"/>
      </rPr>
      <t>vermelha (temp. do ar)</t>
    </r>
    <r>
      <rPr>
        <b/>
        <sz val="10"/>
        <rFont val="Arial"/>
        <family val="2"/>
      </rPr>
      <t>.</t>
    </r>
  </si>
  <si>
    <t xml:space="preserve">     ** primeiro ponto de encontro</t>
  </si>
  <si>
    <t xml:space="preserve">      a temperatura de início das térmicas até 800 m. (Hic é a hora correspondente)</t>
  </si>
  <si>
    <t>WND SPD</t>
  </si>
  <si>
    <t>M</t>
  </si>
  <si>
    <t>C</t>
  </si>
  <si>
    <t>DEG</t>
  </si>
  <si>
    <t>M/S</t>
  </si>
  <si>
    <t>Horas</t>
  </si>
  <si>
    <r>
      <t>51</t>
    </r>
    <r>
      <rPr>
        <b/>
        <vertAlign val="superscript"/>
        <sz val="18"/>
        <rFont val="Arial"/>
        <family val="2"/>
      </rPr>
      <t>o</t>
    </r>
    <r>
      <rPr>
        <b/>
        <sz val="18"/>
        <rFont val="Arial"/>
        <family val="2"/>
      </rPr>
      <t xml:space="preserve"> CAMPEONATO NACIONAL DE VÔO EM PLANADORES</t>
    </r>
  </si>
  <si>
    <t>Td</t>
  </si>
  <si>
    <t>Td na Térmica</t>
  </si>
  <si>
    <t>T Sond. Sat.</t>
  </si>
  <si>
    <t>Td Sond. Sat.</t>
  </si>
  <si>
    <t>boas condições</t>
  </si>
  <si>
    <t>15&lt;S&lt;20</t>
  </si>
  <si>
    <t xml:space="preserve">5&lt;S&lt;15 </t>
  </si>
  <si>
    <t xml:space="preserve"> -10&lt;S&lt;5</t>
  </si>
  <si>
    <t xml:space="preserve">S&lt;-10 </t>
  </si>
  <si>
    <t>sem térmicas</t>
  </si>
  <si>
    <t xml:space="preserve">20&lt;S&lt;30 </t>
  </si>
  <si>
    <t>30&lt;S</t>
  </si>
  <si>
    <t>seca ou 1 / 8 cúmulos</t>
  </si>
  <si>
    <t>excelente mas com maior prob. de chuvas e tempestades</t>
  </si>
  <si>
    <t>Tempestades com 60% de probabilidadeempestades</t>
  </si>
  <si>
    <t>boas condições com chuvas ocasionais.</t>
  </si>
  <si>
    <t>ÍNDICE  S =</t>
  </si>
  <si>
    <t>TIC =</t>
  </si>
  <si>
    <t>Hora Local</t>
  </si>
  <si>
    <t xml:space="preserve"> Só para topos acima de 700 hpa (2400 agl Beb)</t>
  </si>
  <si>
    <t>(m /s )</t>
  </si>
  <si>
    <t>WND DIR</t>
  </si>
  <si>
    <t xml:space="preserve">PREVISÃO METEOROLÖGICA PARA O DIA: dd / mm </t>
  </si>
  <si>
    <t>HGT(MSL)</t>
  </si>
  <si>
    <t>TEMP</t>
  </si>
  <si>
    <t>DEW PT</t>
  </si>
  <si>
    <t>HPA</t>
  </si>
  <si>
    <t xml:space="preserve">   Adiabática seca     ~ - 10,4 graus / 1000 m </t>
  </si>
  <si>
    <t xml:space="preserve">   Pseudo adiabática ~ - 4,75 graus / 1000 m </t>
  </si>
  <si>
    <t xml:space="preserve">   “Ponto de Orvalho” ~ - 2,0 graus / 1000 m </t>
  </si>
  <si>
    <t>PRESS</t>
  </si>
  <si>
    <t xml:space="preserve"> Térmicas </t>
  </si>
  <si>
    <t xml:space="preserve"> Cobertura cúmulus</t>
  </si>
  <si>
    <t xml:space="preserve"> Vento Solo (KTS)</t>
  </si>
  <si>
    <t>SOL</t>
  </si>
  <si>
    <t>Z</t>
  </si>
  <si>
    <t>H. VERÂO</t>
  </si>
  <si>
    <t>P. Orv.</t>
  </si>
  <si>
    <t xml:space="preserve"> </t>
  </si>
  <si>
    <t>FIELD</t>
  </si>
  <si>
    <t>REL HUMID</t>
  </si>
  <si>
    <t>LEVEL</t>
  </si>
  <si>
    <t>2M</t>
  </si>
  <si>
    <t>UNITS</t>
  </si>
  <si>
    <t>DEGC</t>
  </si>
  <si>
    <t>PCT</t>
  </si>
  <si>
    <t>HR</t>
  </si>
  <si>
    <t>Rel.</t>
  </si>
  <si>
    <t>Umida.</t>
  </si>
  <si>
    <t xml:space="preserve">     de sua pista e depois selecionar Meteogram</t>
  </si>
  <si>
    <r>
      <t xml:space="preserve">     de meteogramas  em </t>
    </r>
    <r>
      <rPr>
        <b/>
        <sz val="10"/>
        <color indexed="62"/>
        <rFont val="Arial"/>
        <family val="2"/>
      </rPr>
      <t>http://www.arl.noaa.gov/ready/cmet.html</t>
    </r>
    <r>
      <rPr>
        <b/>
        <sz val="10"/>
        <rFont val="Arial"/>
        <family val="2"/>
      </rPr>
      <t xml:space="preserve"> Fornecer a latidude e longitude</t>
    </r>
  </si>
  <si>
    <t>10 M</t>
  </si>
  <si>
    <t>T NOAA</t>
  </si>
  <si>
    <t>T medida</t>
  </si>
  <si>
    <r>
      <t xml:space="preserve">      </t>
    </r>
    <r>
      <rPr>
        <b/>
        <sz val="10"/>
        <color indexed="12"/>
        <rFont val="Arial"/>
        <family val="2"/>
      </rPr>
      <t>http://www.arl.noaa.gov/ready/cmet.html</t>
    </r>
    <r>
      <rPr>
        <b/>
        <sz val="10"/>
        <rFont val="Arial"/>
        <family val="2"/>
      </rPr>
      <t xml:space="preserve"> Fornecer a latidude e longitudee selecionar</t>
    </r>
  </si>
  <si>
    <r>
      <t>1 - Obter as previsões de temperatura</t>
    </r>
    <r>
      <rPr>
        <b/>
        <sz val="10"/>
        <rFont val="Arial"/>
        <family val="2"/>
      </rPr>
      <t>, ponto de orvalho  e ventos a partir do site</t>
    </r>
  </si>
  <si>
    <t xml:space="preserve">      Meteogram de 24 horas para UTC -3 do dia desejado (text only) para colar na área da</t>
  </si>
  <si>
    <t xml:space="preserve">      reservada da planilha Meteograma</t>
  </si>
  <si>
    <t>KTS</t>
  </si>
  <si>
    <t>12Z</t>
  </si>
  <si>
    <t>15Z</t>
  </si>
  <si>
    <t>18Z</t>
  </si>
  <si>
    <t>WIND DIRECTION WIND</t>
  </si>
  <si>
    <t>SPEED</t>
  </si>
  <si>
    <t xml:space="preserve">    Altura AGL (m)</t>
  </si>
  <si>
    <t>3/8</t>
  </si>
  <si>
    <t>TEMPERATURE   DEW</t>
  </si>
  <si>
    <t>POINT</t>
  </si>
  <si>
    <t>H. Verão</t>
  </si>
  <si>
    <t>HORÀRIO DE VERÂO</t>
  </si>
  <si>
    <t>Hora VERÂO</t>
  </si>
  <si>
    <t>,</t>
  </si>
  <si>
    <t>2/8</t>
  </si>
  <si>
    <t>RIO VERDE</t>
  </si>
  <si>
    <r>
      <t xml:space="preserve">                    PRIMEIRA COPA DE </t>
    </r>
    <r>
      <rPr>
        <b/>
        <sz val="18"/>
        <color indexed="17"/>
        <rFont val="Arial"/>
        <family val="2"/>
      </rPr>
      <t>RIO VERDE</t>
    </r>
    <r>
      <rPr>
        <b/>
        <sz val="18"/>
        <rFont val="Arial"/>
        <family val="2"/>
      </rPr>
      <t xml:space="preserve"> DE PLANADORES</t>
    </r>
  </si>
  <si>
    <t>1/8</t>
  </si>
  <si>
    <t>5/8</t>
  </si>
  <si>
    <t xml:space="preserve"> Cirrus fracos de SW</t>
  </si>
  <si>
    <t xml:space="preserve">  PREVISÃO METEOROLÓGICA PARA O DIA 15 DE OUTUBRO - sábado</t>
  </si>
  <si>
    <r>
      <t xml:space="preserve">     </t>
    </r>
    <r>
      <rPr>
        <b/>
        <sz val="10"/>
        <color indexed="12"/>
        <rFont val="Arial"/>
        <family val="2"/>
      </rPr>
      <t>https://tempo.inmet.gov.br/TabelaEstacoes/A001</t>
    </r>
  </si>
  <si>
    <r>
      <t xml:space="preserve">    </t>
    </r>
    <r>
      <rPr>
        <b/>
        <sz val="10"/>
        <rFont val="Arial"/>
        <family val="2"/>
      </rPr>
      <t>* ver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2"/>
        <rFont val="Arial"/>
        <family val="2"/>
      </rPr>
      <t>http://bancodedados.cptec.inpe.br/tabelaestacoes/faces/consultaestado.jsp</t>
    </r>
    <r>
      <rPr>
        <b/>
        <sz val="10"/>
        <color indexed="62"/>
        <rFont val="Arial"/>
        <family val="2"/>
      </rPr>
      <t xml:space="preserve"> </t>
    </r>
    <r>
      <rPr>
        <b/>
        <sz val="10"/>
        <rFont val="Arial"/>
        <family val="2"/>
      </rPr>
      <t>, ou também</t>
    </r>
  </si>
  <si>
    <t xml:space="preserve">    pode ser estimada a partir da altura do topo da nuvem (reencontro da adiabática umida com a </t>
  </si>
  <si>
    <t xml:space="preserve">    a temp do ar) ou a partir das indicações de meteogramas </t>
  </si>
  <si>
    <t>6 - A cobertura em oitavos pode ser estimada a patir da diferença de temperatura dos pontos</t>
  </si>
  <si>
    <t>8 - Fórmulas utilizadas:  Gradientes de temp. até 3000 m (700 mb):</t>
  </si>
  <si>
    <r>
      <t xml:space="preserve">7 - Com os resultados da análise anotados,  fazer um gráfico como o da planilha </t>
    </r>
    <r>
      <rPr>
        <b/>
        <i/>
        <sz val="10"/>
        <rFont val="Arial"/>
        <family val="2"/>
      </rPr>
      <t xml:space="preserve">Resumo </t>
    </r>
    <r>
      <rPr>
        <b/>
        <sz val="10"/>
        <rFont val="Arial"/>
        <family val="2"/>
      </rPr>
      <t>usando</t>
    </r>
  </si>
  <si>
    <r>
      <t xml:space="preserve">      figuras da planilha</t>
    </r>
    <r>
      <rPr>
        <b/>
        <i/>
        <sz val="10"/>
        <rFont val="Arial"/>
        <family val="2"/>
      </rPr>
      <t xml:space="preserve"> gabarito</t>
    </r>
  </si>
  <si>
    <t xml:space="preserve">    de orvalho na térmica e na atmosfera na altura da base (ver graf.&gt;) e a possibilidade de chuvas, </t>
  </si>
  <si>
    <t xml:space="preserve">     de sua pista e depois Sounding (grafico SkewT,e dados  numéricos) para 12,15, e 18Z</t>
  </si>
  <si>
    <r>
      <t xml:space="preserve">     e colar na planilha </t>
    </r>
    <r>
      <rPr>
        <b/>
        <i/>
        <sz val="10"/>
        <rFont val="Arial"/>
        <family val="2"/>
      </rPr>
      <t>Sond</t>
    </r>
  </si>
  <si>
    <r>
      <t xml:space="preserve">     em </t>
    </r>
    <r>
      <rPr>
        <b/>
        <sz val="10"/>
        <color indexed="12"/>
        <rFont val="Arial"/>
        <family val="2"/>
      </rPr>
      <t>http://www.arl.noaa.gov/ready/cmet.html</t>
    </r>
    <r>
      <rPr>
        <b/>
        <sz val="10"/>
        <rFont val="Arial"/>
        <family val="2"/>
      </rPr>
      <t xml:space="preserve"> Fornecer a latidude e longitude</t>
    </r>
  </si>
  <si>
    <t xml:space="preserve">     de sua pista e depois selecionar Sounding para as 12, 15 e 18 Z até 500 Mb </t>
  </si>
  <si>
    <t xml:space="preserve">     Para análize a cada intervalo de remperatura colar os dados correspondente nas celulas  R3 a W13</t>
  </si>
  <si>
    <t xml:space="preserve">   Temperatura de inicio de laçcamento dos planadores</t>
  </si>
</sst>
</file>

<file path=xl/styles.xml><?xml version="1.0" encoding="utf-8"?>
<styleSheet xmlns="http://schemas.openxmlformats.org/spreadsheetml/2006/main">
  <numFmts count="3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0"/>
    <numFmt numFmtId="179" formatCode="0.0000"/>
    <numFmt numFmtId="180" formatCode="0.00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&quot;Ativado&quot;;&quot;Ativado&quot;;&quot;Desativado&quot;"/>
    <numFmt numFmtId="190" formatCode="&quot;Activado&quot;;&quot;Activado&quot;;&quot;Desactivado&quot;"/>
    <numFmt numFmtId="191" formatCode="#,##0.0"/>
  </numFmts>
  <fonts count="8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name val="Arial Unicode MS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vertAlign val="superscript"/>
      <sz val="1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24"/>
      <name val="Arial"/>
      <family val="2"/>
    </font>
    <font>
      <sz val="20"/>
      <name val="Arial"/>
      <family val="2"/>
    </font>
    <font>
      <b/>
      <sz val="10"/>
      <color indexed="62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8.75"/>
      <color indexed="8"/>
      <name val="Arial"/>
      <family val="2"/>
    </font>
    <font>
      <b/>
      <sz val="7.75"/>
      <color indexed="8"/>
      <name val="Arial"/>
      <family val="2"/>
    </font>
    <font>
      <b/>
      <sz val="10.5"/>
      <color indexed="8"/>
      <name val="Arial"/>
      <family val="2"/>
    </font>
    <font>
      <b/>
      <sz val="8.5"/>
      <color indexed="8"/>
      <name val="Arial"/>
      <family val="2"/>
    </font>
    <font>
      <b/>
      <sz val="9.25"/>
      <color indexed="8"/>
      <name val="Arial"/>
      <family val="2"/>
    </font>
    <font>
      <b/>
      <sz val="11"/>
      <color indexed="8"/>
      <name val="Arial"/>
      <family val="2"/>
    </font>
    <font>
      <sz val="8.25"/>
      <color indexed="8"/>
      <name val="Arial"/>
      <family val="2"/>
    </font>
    <font>
      <b/>
      <sz val="8"/>
      <color indexed="8"/>
      <name val="Arial"/>
      <family val="2"/>
    </font>
    <font>
      <sz val="12"/>
      <color indexed="8"/>
      <name val="Arial"/>
      <family val="2"/>
    </font>
    <font>
      <b/>
      <sz val="10.25"/>
      <color indexed="8"/>
      <name val="Arial"/>
      <family val="2"/>
    </font>
    <font>
      <b/>
      <sz val="1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Courier"/>
      <family val="1"/>
    </font>
    <font>
      <b/>
      <sz val="10"/>
      <color indexed="18"/>
      <name val="Arial"/>
      <family val="2"/>
    </font>
    <font>
      <b/>
      <sz val="9.5"/>
      <color indexed="8"/>
      <name val="Arial"/>
      <family val="2"/>
    </font>
    <font>
      <b/>
      <sz val="15.5"/>
      <color indexed="8"/>
      <name val="Arial"/>
      <family val="2"/>
    </font>
    <font>
      <b/>
      <sz val="16"/>
      <color indexed="8"/>
      <name val="Arial"/>
      <family val="2"/>
    </font>
    <font>
      <b/>
      <sz val="8.25"/>
      <color indexed="8"/>
      <name val="Arial"/>
      <family val="2"/>
    </font>
    <font>
      <b/>
      <sz val="15"/>
      <color indexed="8"/>
      <name val="Arial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80"/>
      <name val="Courier"/>
      <family val="1"/>
    </font>
    <font>
      <b/>
      <sz val="10"/>
      <color theme="4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21" borderId="2" applyNumberFormat="0" applyAlignment="0" applyProtection="0"/>
    <xf numFmtId="0" fontId="70" fillId="0" borderId="3" applyNumberFormat="0" applyFill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71" fillId="28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2" fillId="29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73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74" fillId="20" borderId="5" applyNumberFormat="0" applyAlignment="0" applyProtection="0"/>
    <xf numFmtId="175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81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181" fontId="2" fillId="0" borderId="18" xfId="0" applyNumberFormat="1" applyFont="1" applyBorder="1" applyAlignment="1">
      <alignment horizontal="center"/>
    </xf>
    <xf numFmtId="181" fontId="0" fillId="32" borderId="18" xfId="0" applyNumberFormat="1" applyFill="1" applyBorder="1" applyAlignment="1">
      <alignment horizontal="center"/>
    </xf>
    <xf numFmtId="0" fontId="0" fillId="0" borderId="19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8" xfId="0" applyFont="1" applyBorder="1" applyAlignment="1">
      <alignment/>
    </xf>
    <xf numFmtId="181" fontId="2" fillId="32" borderId="18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181" fontId="0" fillId="32" borderId="18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181" fontId="0" fillId="32" borderId="16" xfId="0" applyNumberFormat="1" applyFill="1" applyBorder="1" applyAlignment="1">
      <alignment/>
    </xf>
    <xf numFmtId="181" fontId="0" fillId="32" borderId="0" xfId="0" applyNumberFormat="1" applyFill="1" applyBorder="1" applyAlignment="1">
      <alignment horizontal="center"/>
    </xf>
    <xf numFmtId="181" fontId="0" fillId="0" borderId="0" xfId="0" applyNumberFormat="1" applyFill="1" applyBorder="1" applyAlignment="1">
      <alignment horizontal="center"/>
    </xf>
    <xf numFmtId="181" fontId="0" fillId="32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4" borderId="0" xfId="0" applyFont="1" applyFill="1" applyBorder="1" applyAlignment="1">
      <alignment/>
    </xf>
    <xf numFmtId="0" fontId="2" fillId="0" borderId="13" xfId="0" applyFont="1" applyBorder="1" applyAlignment="1">
      <alignment/>
    </xf>
    <xf numFmtId="181" fontId="2" fillId="4" borderId="13" xfId="0" applyNumberFormat="1" applyFont="1" applyFill="1" applyBorder="1" applyAlignment="1">
      <alignment/>
    </xf>
    <xf numFmtId="181" fontId="2" fillId="4" borderId="16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81" fontId="0" fillId="32" borderId="20" xfId="0" applyNumberFormat="1" applyFill="1" applyBorder="1" applyAlignment="1">
      <alignment/>
    </xf>
    <xf numFmtId="181" fontId="0" fillId="32" borderId="21" xfId="0" applyNumberFormat="1" applyFill="1" applyBorder="1" applyAlignment="1">
      <alignment/>
    </xf>
    <xf numFmtId="181" fontId="0" fillId="32" borderId="13" xfId="0" applyNumberFormat="1" applyFill="1" applyBorder="1" applyAlignment="1">
      <alignment/>
    </xf>
    <xf numFmtId="181" fontId="0" fillId="32" borderId="12" xfId="0" applyNumberFormat="1" applyFill="1" applyBorder="1" applyAlignment="1">
      <alignment/>
    </xf>
    <xf numFmtId="181" fontId="0" fillId="32" borderId="14" xfId="0" applyNumberFormat="1" applyFill="1" applyBorder="1" applyAlignment="1">
      <alignment/>
    </xf>
    <xf numFmtId="181" fontId="0" fillId="0" borderId="12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81" fontId="0" fillId="32" borderId="17" xfId="0" applyNumberFormat="1" applyFill="1" applyBorder="1" applyAlignment="1">
      <alignment horizontal="center"/>
    </xf>
    <xf numFmtId="181" fontId="0" fillId="32" borderId="11" xfId="0" applyNumberFormat="1" applyFill="1" applyBorder="1" applyAlignment="1">
      <alignment horizontal="center"/>
    </xf>
    <xf numFmtId="0" fontId="2" fillId="32" borderId="12" xfId="0" applyFont="1" applyFill="1" applyBorder="1" applyAlignment="1">
      <alignment/>
    </xf>
    <xf numFmtId="0" fontId="0" fillId="32" borderId="12" xfId="0" applyFill="1" applyBorder="1" applyAlignment="1">
      <alignment/>
    </xf>
    <xf numFmtId="0" fontId="0" fillId="32" borderId="10" xfId="0" applyFill="1" applyBorder="1" applyAlignment="1">
      <alignment horizontal="center"/>
    </xf>
    <xf numFmtId="181" fontId="0" fillId="32" borderId="0" xfId="0" applyNumberFormat="1" applyFill="1" applyBorder="1" applyAlignment="1">
      <alignment/>
    </xf>
    <xf numFmtId="0" fontId="0" fillId="32" borderId="15" xfId="0" applyFill="1" applyBorder="1" applyAlignment="1">
      <alignment/>
    </xf>
    <xf numFmtId="0" fontId="0" fillId="32" borderId="0" xfId="0" applyFont="1" applyFill="1" applyBorder="1" applyAlignment="1">
      <alignment/>
    </xf>
    <xf numFmtId="0" fontId="0" fillId="32" borderId="15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181" fontId="0" fillId="0" borderId="18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2" fillId="32" borderId="12" xfId="0" applyNumberFormat="1" applyFont="1" applyFill="1" applyBorder="1" applyAlignment="1">
      <alignment/>
    </xf>
    <xf numFmtId="181" fontId="2" fillId="0" borderId="17" xfId="0" applyNumberFormat="1" applyFont="1" applyBorder="1" applyAlignment="1">
      <alignment/>
    </xf>
    <xf numFmtId="0" fontId="2" fillId="0" borderId="0" xfId="0" applyFont="1" applyAlignment="1">
      <alignment horizontal="right"/>
    </xf>
    <xf numFmtId="181" fontId="2" fillId="0" borderId="18" xfId="0" applyNumberFormat="1" applyFont="1" applyBorder="1" applyAlignment="1">
      <alignment/>
    </xf>
    <xf numFmtId="181" fontId="2" fillId="33" borderId="18" xfId="0" applyNumberFormat="1" applyFont="1" applyFill="1" applyBorder="1" applyAlignment="1">
      <alignment/>
    </xf>
    <xf numFmtId="0" fontId="2" fillId="4" borderId="0" xfId="0" applyFont="1" applyFill="1" applyAlignment="1">
      <alignment/>
    </xf>
    <xf numFmtId="0" fontId="0" fillId="0" borderId="18" xfId="0" applyFont="1" applyBorder="1" applyAlignment="1">
      <alignment/>
    </xf>
    <xf numFmtId="0" fontId="2" fillId="4" borderId="18" xfId="0" applyFont="1" applyFill="1" applyBorder="1" applyAlignment="1">
      <alignment/>
    </xf>
    <xf numFmtId="181" fontId="2" fillId="32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4" borderId="18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181" fontId="2" fillId="4" borderId="20" xfId="0" applyNumberFormat="1" applyFont="1" applyFill="1" applyBorder="1" applyAlignment="1">
      <alignment/>
    </xf>
    <xf numFmtId="181" fontId="2" fillId="4" borderId="21" xfId="0" applyNumberFormat="1" applyFont="1" applyFill="1" applyBorder="1" applyAlignment="1">
      <alignment/>
    </xf>
    <xf numFmtId="181" fontId="2" fillId="4" borderId="22" xfId="0" applyNumberFormat="1" applyFont="1" applyFill="1" applyBorder="1" applyAlignment="1">
      <alignment/>
    </xf>
    <xf numFmtId="181" fontId="2" fillId="4" borderId="18" xfId="0" applyNumberFormat="1" applyFont="1" applyFill="1" applyBorder="1" applyAlignment="1">
      <alignment/>
    </xf>
    <xf numFmtId="0" fontId="2" fillId="32" borderId="17" xfId="0" applyFont="1" applyFill="1" applyBorder="1" applyAlignment="1">
      <alignment/>
    </xf>
    <xf numFmtId="1" fontId="2" fillId="32" borderId="12" xfId="0" applyNumberFormat="1" applyFont="1" applyFill="1" applyBorder="1" applyAlignment="1">
      <alignment/>
    </xf>
    <xf numFmtId="1" fontId="0" fillId="32" borderId="12" xfId="0" applyNumberFormat="1" applyFill="1" applyBorder="1" applyAlignment="1">
      <alignment/>
    </xf>
    <xf numFmtId="1" fontId="2" fillId="32" borderId="14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11" fillId="0" borderId="0" xfId="0" applyFont="1" applyAlignment="1">
      <alignment/>
    </xf>
    <xf numFmtId="0" fontId="15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32" borderId="17" xfId="0" applyFont="1" applyFill="1" applyBorder="1" applyAlignment="1">
      <alignment horizontal="center"/>
    </xf>
    <xf numFmtId="181" fontId="2" fillId="34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4" borderId="0" xfId="0" applyFont="1" applyFill="1" applyAlignment="1">
      <alignment/>
    </xf>
    <xf numFmtId="16" fontId="20" fillId="0" borderId="0" xfId="0" applyNumberFormat="1" applyFont="1" applyAlignment="1">
      <alignment horizontal="center" readingOrder="2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3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Alignment="1">
      <alignment/>
    </xf>
    <xf numFmtId="0" fontId="82" fillId="0" borderId="0" xfId="0" applyFont="1" applyAlignment="1">
      <alignment vertical="center"/>
    </xf>
    <xf numFmtId="0" fontId="82" fillId="0" borderId="0" xfId="0" applyFont="1" applyAlignment="1">
      <alignment/>
    </xf>
    <xf numFmtId="0" fontId="0" fillId="35" borderId="0" xfId="0" applyFill="1" applyAlignment="1">
      <alignment/>
    </xf>
    <xf numFmtId="0" fontId="15" fillId="35" borderId="15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4" fillId="35" borderId="12" xfId="0" applyFont="1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12" xfId="0" applyFont="1" applyFill="1" applyBorder="1" applyAlignment="1">
      <alignment horizontal="right"/>
    </xf>
    <xf numFmtId="0" fontId="0" fillId="35" borderId="19" xfId="0" applyFill="1" applyBorder="1" applyAlignment="1">
      <alignment/>
    </xf>
    <xf numFmtId="0" fontId="0" fillId="35" borderId="23" xfId="0" applyFill="1" applyBorder="1" applyAlignment="1">
      <alignment/>
    </xf>
    <xf numFmtId="0" fontId="18" fillId="35" borderId="19" xfId="0" applyFont="1" applyFill="1" applyBorder="1" applyAlignment="1">
      <alignment/>
    </xf>
    <xf numFmtId="9" fontId="19" fillId="35" borderId="19" xfId="51" applyFont="1" applyFill="1" applyBorder="1" applyAlignment="1">
      <alignment/>
    </xf>
    <xf numFmtId="0" fontId="0" fillId="35" borderId="24" xfId="0" applyFill="1" applyBorder="1" applyAlignment="1">
      <alignment/>
    </xf>
    <xf numFmtId="0" fontId="4" fillId="35" borderId="18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4" fillId="35" borderId="0" xfId="0" applyFont="1" applyFill="1" applyAlignment="1">
      <alignment horizontal="center"/>
    </xf>
    <xf numFmtId="0" fontId="17" fillId="35" borderId="0" xfId="0" applyFont="1" applyFill="1" applyAlignment="1">
      <alignment horizontal="center"/>
    </xf>
    <xf numFmtId="0" fontId="4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left"/>
    </xf>
    <xf numFmtId="0" fontId="0" fillId="35" borderId="0" xfId="0" applyFill="1" applyAlignment="1">
      <alignment horizontal="center"/>
    </xf>
    <xf numFmtId="0" fontId="23" fillId="35" borderId="19" xfId="0" applyFont="1" applyFill="1" applyBorder="1" applyAlignment="1">
      <alignment/>
    </xf>
    <xf numFmtId="0" fontId="24" fillId="35" borderId="19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26" xfId="0" applyFont="1" applyBorder="1" applyAlignment="1">
      <alignment/>
    </xf>
    <xf numFmtId="0" fontId="0" fillId="4" borderId="18" xfId="0" applyFont="1" applyFill="1" applyBorder="1" applyAlignment="1">
      <alignment/>
    </xf>
    <xf numFmtId="0" fontId="2" fillId="35" borderId="24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/>
    </xf>
    <xf numFmtId="49" fontId="4" fillId="35" borderId="0" xfId="0" applyNumberFormat="1" applyFont="1" applyFill="1" applyAlignment="1">
      <alignment horizontal="center"/>
    </xf>
    <xf numFmtId="181" fontId="4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 horizontal="left"/>
    </xf>
    <xf numFmtId="0" fontId="82" fillId="0" borderId="0" xfId="0" applyFont="1" applyAlignment="1">
      <alignment vertical="center"/>
    </xf>
    <xf numFmtId="0" fontId="4" fillId="35" borderId="13" xfId="0" applyFont="1" applyFill="1" applyBorder="1" applyAlignment="1">
      <alignment/>
    </xf>
    <xf numFmtId="0" fontId="83" fillId="0" borderId="0" xfId="0" applyFont="1" applyAlignment="1">
      <alignment/>
    </xf>
    <xf numFmtId="0" fontId="82" fillId="0" borderId="26" xfId="0" applyFont="1" applyBorder="1" applyAlignment="1">
      <alignment vertical="center"/>
    </xf>
    <xf numFmtId="0" fontId="82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82" fillId="0" borderId="12" xfId="0" applyFont="1" applyBorder="1" applyAlignment="1">
      <alignment vertical="center"/>
    </xf>
    <xf numFmtId="0" fontId="82" fillId="0" borderId="14" xfId="0" applyFont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Estimativa de cobertura de cúmulos</a:t>
            </a:r>
          </a:p>
        </c:rich>
      </c:tx>
      <c:layout>
        <c:manualLayout>
          <c:xMode val="factor"/>
          <c:yMode val="factor"/>
          <c:x val="0.00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8"/>
          <c:y val="0.12725"/>
          <c:w val="0.896"/>
          <c:h val="0.784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Análise!$S$27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Análise!$U$27:$U$34</c:f>
              <c:numCache>
                <c:ptCount val="8"/>
                <c:pt idx="0">
                  <c:v>0</c:v>
                </c:pt>
                <c:pt idx="1">
                  <c:v>0.63</c:v>
                </c:pt>
                <c:pt idx="2">
                  <c:v>1.3</c:v>
                </c:pt>
                <c:pt idx="3">
                  <c:v>2</c:v>
                </c:pt>
                <c:pt idx="4">
                  <c:v>2.9</c:v>
                </c:pt>
                <c:pt idx="5">
                  <c:v>3.9</c:v>
                </c:pt>
                <c:pt idx="6">
                  <c:v>5.1</c:v>
                </c:pt>
                <c:pt idx="7">
                  <c:v>6.8</c:v>
                </c:pt>
              </c:numCache>
            </c:numRef>
          </c:xVal>
          <c:yVal>
            <c:numRef>
              <c:f>Análise!$V$27:$V$34</c:f>
              <c:numCache>
                <c:ptCount val="8"/>
                <c:pt idx="0">
                  <c:v>8</c:v>
                </c:pt>
                <c:pt idx="1">
                  <c:v>7</c:v>
                </c:pt>
                <c:pt idx="2">
                  <c:v>6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</c:numCache>
            </c:numRef>
          </c:yVal>
          <c:smooth val="1"/>
        </c:ser>
        <c:axId val="1853502"/>
        <c:axId val="16681519"/>
      </c:scatterChart>
      <c:valAx>
        <c:axId val="1853502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P. Orvalho</a:t>
                </a:r>
              </a:p>
            </c:rich>
          </c:tx>
          <c:layout>
            <c:manualLayout>
              <c:xMode val="factor"/>
              <c:yMode val="factor"/>
              <c:x val="-0.011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681519"/>
        <c:crosses val="autoZero"/>
        <c:crossBetween val="midCat"/>
        <c:dispUnits/>
        <c:majorUnit val="1"/>
      </c:valAx>
      <c:valAx>
        <c:axId val="16681519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Oitavos de cúmulos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35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325"/>
          <c:w val="0.9845"/>
          <c:h val="0.97775"/>
        </c:manualLayout>
      </c:layout>
      <c:scatterChart>
        <c:scatterStyle val="smoothMarker"/>
        <c:varyColors val="0"/>
        <c:ser>
          <c:idx val="4"/>
          <c:order val="0"/>
          <c:tx>
            <c:v> T a 2m (NOAA)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'Meteog.'!$J$10:$J$15</c:f>
              <c:numCache/>
            </c:numRef>
          </c:xVal>
          <c:yVal>
            <c:numRef>
              <c:f>'Meteog.'!$K$10:$K$15</c:f>
              <c:numCache/>
            </c:numRef>
          </c:yVal>
          <c:smooth val="1"/>
        </c:ser>
        <c:ser>
          <c:idx val="0"/>
          <c:order val="1"/>
          <c:tx>
            <c:strRef>
              <c:f>'Meteog.'!$C$12</c:f>
              <c:strCache>
                <c:ptCount val="1"/>
                <c:pt idx="0">
                  <c:v>T NOAA</c:v>
                </c:pt>
              </c:strCache>
            </c:strRef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'Meteog.'!$B$13:$B$25</c:f>
              <c:numCache/>
            </c:numRef>
          </c:xVal>
          <c:yVal>
            <c:numRef>
              <c:f>'Meteog.'!$C$13:$C$25</c:f>
              <c:numCache/>
            </c:numRef>
          </c:yVal>
          <c:smooth val="1"/>
        </c:ser>
        <c:ser>
          <c:idx val="3"/>
          <c:order val="2"/>
          <c:tx>
            <c:strRef>
              <c:f>'Meteog.'!$D$12</c:f>
              <c:strCache>
                <c:ptCount val="1"/>
                <c:pt idx="0">
                  <c:v>T medida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'Meteog.'!$B$13:$B$25</c:f>
              <c:numCache/>
            </c:numRef>
          </c:xVal>
          <c:yVal>
            <c:numRef>
              <c:f>'Meteog.'!$D$13:$D$25</c:f>
              <c:numCache/>
            </c:numRef>
          </c:yVal>
          <c:smooth val="1"/>
        </c:ser>
        <c:ser>
          <c:idx val="1"/>
          <c:order val="3"/>
          <c:tx>
            <c:v>T estim.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'Meteog.'!$B$13:$B$25</c:f>
              <c:numCache/>
            </c:numRef>
          </c:xVal>
          <c:yVal>
            <c:numRef>
              <c:f>'Meteog.'!$F$13:$F$25</c:f>
              <c:numCache/>
            </c:numRef>
          </c:yVal>
          <c:smooth val="1"/>
        </c:ser>
        <c:ser>
          <c:idx val="2"/>
          <c:order val="4"/>
          <c:tx>
            <c:v>PO estim.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'Meteog.'!$B$13:$B$25</c:f>
              <c:numCache/>
            </c:numRef>
          </c:xVal>
          <c:yVal>
            <c:numRef>
              <c:f>'Meteog.'!$H$13:$H$25</c:f>
              <c:numCache/>
            </c:numRef>
          </c:yVal>
          <c:smooth val="1"/>
        </c:ser>
        <c:ser>
          <c:idx val="5"/>
          <c:order val="5"/>
          <c:tx>
            <c:v>PO a 2m (NOAA)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'Meteog.'!$J$10:$J$16</c:f>
              <c:numCache/>
            </c:numRef>
          </c:xVal>
          <c:yVal>
            <c:numRef>
              <c:f>'Meteog.'!$L$10:$L$16</c:f>
              <c:numCache/>
            </c:numRef>
          </c:yVal>
          <c:smooth val="1"/>
        </c:ser>
        <c:axId val="15915944"/>
        <c:axId val="9025769"/>
      </c:scatterChart>
      <c:valAx>
        <c:axId val="15915944"/>
        <c:scaling>
          <c:orientation val="minMax"/>
          <c:max val="18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</a:t>
                </a:r>
              </a:p>
            </c:rich>
          </c:tx>
          <c:layout>
            <c:manualLayout>
              <c:xMode val="factor"/>
              <c:yMode val="factor"/>
              <c:x val="0.03525"/>
              <c:y val="0.09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25769"/>
        <c:crosses val="autoZero"/>
        <c:crossBetween val="midCat"/>
        <c:dispUnits/>
        <c:majorUnit val="1"/>
      </c:valAx>
      <c:valAx>
        <c:axId val="90257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 C)</a:t>
                </a:r>
              </a:p>
            </c:rich>
          </c:tx>
          <c:layout>
            <c:manualLayout>
              <c:xMode val="factor"/>
              <c:yMode val="factor"/>
              <c:x val="0.02325"/>
              <c:y val="0.07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91594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254"/>
          <c:y val="0.556"/>
          <c:w val="0.298"/>
          <c:h val="0.3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355"/>
          <c:w val="0.98275"/>
          <c:h val="0.97575"/>
        </c:manualLayout>
      </c:layout>
      <c:scatterChart>
        <c:scatterStyle val="smoothMarker"/>
        <c:varyColors val="0"/>
        <c:ser>
          <c:idx val="4"/>
          <c:order val="0"/>
          <c:tx>
            <c:v> T a 2m (NOAA)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'Meteog.'!$I$10:$I$15</c:f>
              <c:numCache/>
            </c:numRef>
          </c:xVal>
          <c:yVal>
            <c:numRef>
              <c:f>'Meteog.'!$K$10:$K$15</c:f>
              <c:numCache/>
            </c:numRef>
          </c:yVal>
          <c:smooth val="1"/>
        </c:ser>
        <c:ser>
          <c:idx val="0"/>
          <c:order val="1"/>
          <c:tx>
            <c:strRef>
              <c:f>'Meteog.'!$C$12</c:f>
              <c:strCache>
                <c:ptCount val="1"/>
                <c:pt idx="0">
                  <c:v>T NOAA</c:v>
                </c:pt>
              </c:strCache>
            </c:strRef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'Meteog.'!$A$13:$A$25</c:f>
              <c:numCache/>
            </c:numRef>
          </c:xVal>
          <c:yVal>
            <c:numRef>
              <c:f>'Meteog.'!$C$13:$C$25</c:f>
              <c:numCache/>
            </c:numRef>
          </c:yVal>
          <c:smooth val="1"/>
        </c:ser>
        <c:ser>
          <c:idx val="3"/>
          <c:order val="2"/>
          <c:tx>
            <c:strRef>
              <c:f>'Meteog.'!$D$12</c:f>
              <c:strCache>
                <c:ptCount val="1"/>
                <c:pt idx="0">
                  <c:v>T medida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'Meteog.'!$B$13:$B$25</c:f>
              <c:numCache/>
            </c:numRef>
          </c:xVal>
          <c:yVal>
            <c:numRef>
              <c:f>'Meteog.'!$D$13:$D$25</c:f>
              <c:numCache/>
            </c:numRef>
          </c:yVal>
          <c:smooth val="1"/>
        </c:ser>
        <c:ser>
          <c:idx val="1"/>
          <c:order val="3"/>
          <c:tx>
            <c:v>T estim.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'Meteog.'!$A$13:$A$25</c:f>
              <c:numCache/>
            </c:numRef>
          </c:xVal>
          <c:yVal>
            <c:numRef>
              <c:f>'Meteog.'!$F$13:$F$25</c:f>
              <c:numCache/>
            </c:numRef>
          </c:yVal>
          <c:smooth val="1"/>
        </c:ser>
        <c:ser>
          <c:idx val="2"/>
          <c:order val="4"/>
          <c:tx>
            <c:v>PO estim.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'Meteog.'!$A$13:$A$25</c:f>
              <c:numCache/>
            </c:numRef>
          </c:xVal>
          <c:yVal>
            <c:numRef>
              <c:f>'Meteog.'!$H$13:$H$25</c:f>
              <c:numCache/>
            </c:numRef>
          </c:yVal>
          <c:smooth val="1"/>
        </c:ser>
        <c:ser>
          <c:idx val="5"/>
          <c:order val="5"/>
          <c:tx>
            <c:v>PO a 2m (NOAA)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'Meteog.'!$I$10:$I$16</c:f>
              <c:numCache/>
            </c:numRef>
          </c:xVal>
          <c:yVal>
            <c:numRef>
              <c:f>'Meteog.'!$L$10:$L$16</c:f>
              <c:numCache/>
            </c:numRef>
          </c:yVal>
          <c:smooth val="1"/>
        </c:ser>
        <c:axId val="14123058"/>
        <c:axId val="59998659"/>
      </c:scatterChart>
      <c:valAx>
        <c:axId val="14123058"/>
        <c:scaling>
          <c:orientation val="minMax"/>
          <c:max val="19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HORARIO DE
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VERÂO</a:t>
                </a:r>
              </a:p>
            </c:rich>
          </c:tx>
          <c:layout>
            <c:manualLayout>
              <c:xMode val="factor"/>
              <c:yMode val="factor"/>
              <c:x val="0.0685"/>
              <c:y val="0.09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998659"/>
        <c:crosses val="autoZero"/>
        <c:crossBetween val="midCat"/>
        <c:dispUnits/>
        <c:majorUnit val="1"/>
      </c:valAx>
      <c:valAx>
        <c:axId val="599986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 C)</a:t>
                </a:r>
              </a:p>
            </c:rich>
          </c:tx>
          <c:layout>
            <c:manualLayout>
              <c:xMode val="factor"/>
              <c:yMode val="factor"/>
              <c:x val="0.026"/>
              <c:y val="0.06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2305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4065"/>
          <c:y val="0.45225"/>
          <c:w val="0.2985"/>
          <c:h val="0.3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Perfís H x T</a:t>
            </a:r>
          </a:p>
        </c:rich>
      </c:tx>
      <c:layout>
        <c:manualLayout>
          <c:xMode val="factor"/>
          <c:yMode val="factor"/>
          <c:x val="0.105"/>
          <c:y val="0.12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"/>
          <c:w val="0.92725"/>
          <c:h val="1"/>
        </c:manualLayout>
      </c:layout>
      <c:scatterChart>
        <c:scatterStyle val="lineMarker"/>
        <c:varyColors val="0"/>
        <c:ser>
          <c:idx val="1"/>
          <c:order val="0"/>
          <c:tx>
            <c:strRef>
              <c:f>'Sond.'!$H$2</c:f>
              <c:strCache>
                <c:ptCount val="1"/>
                <c:pt idx="0">
                  <c:v>  Sond. Avião/balão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'Sond.'!$I$4:$I$32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ser>
          <c:idx val="5"/>
          <c:order val="1"/>
          <c:tx>
            <c:strRef>
              <c:f>'Sond.'!$F$3</c:f>
              <c:strCache>
                <c:ptCount val="1"/>
                <c:pt idx="0">
                  <c:v>T Sond. Sat.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'Sond.'!$D$4:$D$32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ser>
          <c:idx val="3"/>
          <c:order val="2"/>
          <c:tx>
            <c:strRef>
              <c:f>'Sond.'!$G$3</c:f>
              <c:strCache>
                <c:ptCount val="1"/>
                <c:pt idx="0">
                  <c:v>Td Sond. Sat.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FF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'Sond.'!$E$4:$E$32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ser>
          <c:idx val="0"/>
          <c:order val="3"/>
          <c:tx>
            <c:strRef>
              <c:f>'Sond.'!$N$3</c:f>
              <c:strCache>
                <c:ptCount val="1"/>
                <c:pt idx="0">
                  <c:v>H x 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'Sond.'!$N$4:$N$32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ser>
          <c:idx val="2"/>
          <c:order val="4"/>
          <c:tx>
            <c:strRef>
              <c:f>'Sond.'!$J$3</c:f>
              <c:strCache>
                <c:ptCount val="1"/>
                <c:pt idx="0">
                  <c:v>Td na Térmica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'Sond.'!$J$4:$J$32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ser>
          <c:idx val="4"/>
          <c:order val="5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'Sond.'!$G$4:$G$32</c:f>
              <c:numCache/>
            </c:numRef>
          </c:xVal>
          <c:yVal>
            <c:numRef>
              <c:f>'Sond.'!$H$4:$H$32</c:f>
              <c:numCache/>
            </c:numRef>
          </c:yVal>
          <c:smooth val="0"/>
        </c:ser>
        <c:axId val="3117020"/>
        <c:axId val="28053181"/>
      </c:scatterChart>
      <c:valAx>
        <c:axId val="3117020"/>
        <c:scaling>
          <c:orientation val="minMax"/>
          <c:max val="4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(graus C)</a:t>
                </a:r>
              </a:p>
            </c:rich>
          </c:tx>
          <c:layout>
            <c:manualLayout>
              <c:xMode val="factor"/>
              <c:yMode val="factor"/>
              <c:x val="0.03225"/>
              <c:y val="-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053181"/>
        <c:crosses val="max"/>
        <c:crossBetween val="midCat"/>
        <c:dispUnits/>
        <c:majorUnit val="5"/>
        <c:minorUnit val="5"/>
      </c:valAx>
      <c:valAx>
        <c:axId val="28053181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agl (m)</a:t>
                </a:r>
              </a:p>
            </c:rich>
          </c:tx>
          <c:layout>
            <c:manualLayout>
              <c:xMode val="factor"/>
              <c:yMode val="factor"/>
              <c:x val="-0.014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17020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0.392"/>
          <c:y val="0.2515"/>
          <c:w val="0.4445"/>
          <c:h val="0.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
</a:t>
            </a:r>
          </a:p>
        </c:rich>
      </c:tx>
      <c:layout>
        <c:manualLayout>
          <c:xMode val="factor"/>
          <c:yMode val="factor"/>
          <c:x val="-0.05375"/>
          <c:y val="0.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6245"/>
          <c:w val="1"/>
          <c:h val="0.37825"/>
        </c:manualLayout>
      </c:layout>
      <c:scatterChart>
        <c:scatterStyle val="lineMarker"/>
        <c:varyColors val="0"/>
        <c:ser>
          <c:idx val="0"/>
          <c:order val="0"/>
          <c:tx>
            <c:v> 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'Sond.'!$N$4:$N$32</c:f>
              <c:numCache>
                <c:ptCount val="29"/>
                <c:pt idx="0">
                  <c:v>31.6</c:v>
                </c:pt>
                <c:pt idx="1">
                  <c:v>31</c:v>
                </c:pt>
                <c:pt idx="2">
                  <c:v>30.4</c:v>
                </c:pt>
                <c:pt idx="3">
                  <c:v>29.25</c:v>
                </c:pt>
                <c:pt idx="4">
                  <c:v>28.1</c:v>
                </c:pt>
                <c:pt idx="5">
                  <c:v>27.1</c:v>
                </c:pt>
                <c:pt idx="6">
                  <c:v>26.1</c:v>
                </c:pt>
                <c:pt idx="7">
                  <c:v>25.1</c:v>
                </c:pt>
                <c:pt idx="8">
                  <c:v>24.1</c:v>
                </c:pt>
                <c:pt idx="9">
                  <c:v>23.1</c:v>
                </c:pt>
                <c:pt idx="10">
                  <c:v>22.080000000000002</c:v>
                </c:pt>
                <c:pt idx="11">
                  <c:v>21.060000000000002</c:v>
                </c:pt>
                <c:pt idx="12">
                  <c:v>20.040000000000003</c:v>
                </c:pt>
                <c:pt idx="13">
                  <c:v>19.020000000000003</c:v>
                </c:pt>
                <c:pt idx="14">
                  <c:v>18</c:v>
                </c:pt>
                <c:pt idx="15">
                  <c:v>16.94</c:v>
                </c:pt>
                <c:pt idx="16">
                  <c:v>15.88</c:v>
                </c:pt>
                <c:pt idx="17">
                  <c:v>14.82</c:v>
                </c:pt>
                <c:pt idx="18">
                  <c:v>13.76</c:v>
                </c:pt>
                <c:pt idx="19">
                  <c:v>12.7</c:v>
                </c:pt>
                <c:pt idx="20">
                  <c:v>11.92</c:v>
                </c:pt>
                <c:pt idx="21">
                  <c:v>11.14</c:v>
                </c:pt>
                <c:pt idx="22">
                  <c:v>10.360000000000001</c:v>
                </c:pt>
                <c:pt idx="23">
                  <c:v>9.580000000000002</c:v>
                </c:pt>
                <c:pt idx="24">
                  <c:v>8.8</c:v>
                </c:pt>
                <c:pt idx="25">
                  <c:v>5.2</c:v>
                </c:pt>
                <c:pt idx="26">
                  <c:v>2.5</c:v>
                </c:pt>
                <c:pt idx="27">
                  <c:v>-1.8</c:v>
                </c:pt>
                <c:pt idx="28">
                  <c:v>-6.3</c:v>
                </c:pt>
              </c:numCache>
            </c:numRef>
          </c:xVal>
          <c:yVal>
            <c:numRef>
              <c:f>'Sond.'!$O$4:$O$32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1"/>
          <c:order val="1"/>
          <c:tx>
            <c:v>  PO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'Sond.'!$G$4:$G$32</c:f>
              <c:numCache>
                <c:ptCount val="29"/>
                <c:pt idx="0">
                  <c:v>17.5</c:v>
                </c:pt>
                <c:pt idx="1">
                  <c:v>16.4</c:v>
                </c:pt>
                <c:pt idx="2">
                  <c:v>15.3</c:v>
                </c:pt>
                <c:pt idx="3">
                  <c:v>15</c:v>
                </c:pt>
                <c:pt idx="4">
                  <c:v>14.7</c:v>
                </c:pt>
                <c:pt idx="5">
                  <c:v>14.479999999999999</c:v>
                </c:pt>
                <c:pt idx="6">
                  <c:v>14.259999999999998</c:v>
                </c:pt>
                <c:pt idx="7">
                  <c:v>14.039999999999997</c:v>
                </c:pt>
                <c:pt idx="8">
                  <c:v>13.819999999999997</c:v>
                </c:pt>
                <c:pt idx="9">
                  <c:v>13.6</c:v>
                </c:pt>
                <c:pt idx="10">
                  <c:v>13.4</c:v>
                </c:pt>
                <c:pt idx="11">
                  <c:v>13.200000000000001</c:v>
                </c:pt>
                <c:pt idx="12">
                  <c:v>13.000000000000002</c:v>
                </c:pt>
                <c:pt idx="13">
                  <c:v>12.800000000000002</c:v>
                </c:pt>
                <c:pt idx="14">
                  <c:v>12.6</c:v>
                </c:pt>
                <c:pt idx="15">
                  <c:v>12.36</c:v>
                </c:pt>
                <c:pt idx="16">
                  <c:v>12.12</c:v>
                </c:pt>
                <c:pt idx="17">
                  <c:v>11.879999999999999</c:v>
                </c:pt>
                <c:pt idx="18">
                  <c:v>11.639999999999999</c:v>
                </c:pt>
                <c:pt idx="19">
                  <c:v>11.4</c:v>
                </c:pt>
                <c:pt idx="20">
                  <c:v>10.5</c:v>
                </c:pt>
                <c:pt idx="21">
                  <c:v>9.6</c:v>
                </c:pt>
                <c:pt idx="22">
                  <c:v>8.7</c:v>
                </c:pt>
                <c:pt idx="23">
                  <c:v>7.799999999999999</c:v>
                </c:pt>
                <c:pt idx="24">
                  <c:v>6.9</c:v>
                </c:pt>
                <c:pt idx="25">
                  <c:v>2.1</c:v>
                </c:pt>
                <c:pt idx="26">
                  <c:v>-3.8</c:v>
                </c:pt>
                <c:pt idx="27">
                  <c:v>-8.1</c:v>
                </c:pt>
                <c:pt idx="28">
                  <c:v>-14.8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2"/>
          <c:order val="2"/>
          <c:tx>
            <c:v>  PO na térmica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'Sond.'!$J$4:$J$32</c:f>
              <c:numCache>
                <c:ptCount val="29"/>
                <c:pt idx="0">
                  <c:v>17.399999618530273</c:v>
                </c:pt>
                <c:pt idx="1">
                  <c:v>17.199999618530274</c:v>
                </c:pt>
                <c:pt idx="2">
                  <c:v>16.999999618530275</c:v>
                </c:pt>
                <c:pt idx="3">
                  <c:v>16.799999618530276</c:v>
                </c:pt>
                <c:pt idx="4">
                  <c:v>16.599999618530276</c:v>
                </c:pt>
                <c:pt idx="5">
                  <c:v>16.399999618530277</c:v>
                </c:pt>
                <c:pt idx="6">
                  <c:v>16.199999618530278</c:v>
                </c:pt>
                <c:pt idx="7">
                  <c:v>15.999999618530278</c:v>
                </c:pt>
                <c:pt idx="8">
                  <c:v>15.79999961853028</c:v>
                </c:pt>
                <c:pt idx="9">
                  <c:v>15.59999961853028</c:v>
                </c:pt>
                <c:pt idx="10">
                  <c:v>15.39999961853028</c:v>
                </c:pt>
                <c:pt idx="11">
                  <c:v>15.199999618530281</c:v>
                </c:pt>
                <c:pt idx="12">
                  <c:v>14.999999618530282</c:v>
                </c:pt>
                <c:pt idx="13">
                  <c:v>14.799999618530283</c:v>
                </c:pt>
                <c:pt idx="14">
                  <c:v>14.599999618530283</c:v>
                </c:pt>
                <c:pt idx="15">
                  <c:v>14.399999618530284</c:v>
                </c:pt>
                <c:pt idx="16">
                  <c:v>14.199999618530285</c:v>
                </c:pt>
                <c:pt idx="17">
                  <c:v>13.999999618530286</c:v>
                </c:pt>
                <c:pt idx="18">
                  <c:v>13.799999618530286</c:v>
                </c:pt>
                <c:pt idx="19">
                  <c:v>13.599999618530287</c:v>
                </c:pt>
                <c:pt idx="20">
                  <c:v>13.399999618530288</c:v>
                </c:pt>
                <c:pt idx="21">
                  <c:v>13.199999618530288</c:v>
                </c:pt>
                <c:pt idx="22">
                  <c:v>12.999999618530289</c:v>
                </c:pt>
                <c:pt idx="23">
                  <c:v>12.79999961853029</c:v>
                </c:pt>
                <c:pt idx="24">
                  <c:v>12.59999961853029</c:v>
                </c:pt>
                <c:pt idx="25">
                  <c:v>11.399999618530291</c:v>
                </c:pt>
                <c:pt idx="26">
                  <c:v>10.399999618530291</c:v>
                </c:pt>
                <c:pt idx="27">
                  <c:v>8.99999961853029</c:v>
                </c:pt>
                <c:pt idx="28">
                  <c:v>7.5999996185302905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3"/>
          <c:order val="3"/>
          <c:tx>
            <c:v>Adiabática (seca+úmida)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'Sond.'!$M$4:$M$32</c:f>
              <c:numCache>
                <c:ptCount val="29"/>
                <c:pt idx="0">
                  <c:v>32.60000038146973</c:v>
                </c:pt>
                <c:pt idx="1">
                  <c:v>31.560000381469727</c:v>
                </c:pt>
                <c:pt idx="2">
                  <c:v>30.52000038146973</c:v>
                </c:pt>
                <c:pt idx="3">
                  <c:v>29.48000038146973</c:v>
                </c:pt>
                <c:pt idx="4">
                  <c:v>28.44000038146973</c:v>
                </c:pt>
                <c:pt idx="5">
                  <c:v>27.40000038146973</c:v>
                </c:pt>
                <c:pt idx="6">
                  <c:v>26.36000038146973</c:v>
                </c:pt>
                <c:pt idx="7">
                  <c:v>25.320000381469733</c:v>
                </c:pt>
                <c:pt idx="8">
                  <c:v>24.280000381469733</c:v>
                </c:pt>
                <c:pt idx="9">
                  <c:v>23.240000381469734</c:v>
                </c:pt>
                <c:pt idx="10">
                  <c:v>22.200000381469735</c:v>
                </c:pt>
                <c:pt idx="11">
                  <c:v>21.160000381469736</c:v>
                </c:pt>
                <c:pt idx="12">
                  <c:v>20.120000381469737</c:v>
                </c:pt>
                <c:pt idx="13">
                  <c:v>19.080000381469738</c:v>
                </c:pt>
                <c:pt idx="14">
                  <c:v>18.04000038146974</c:v>
                </c:pt>
                <c:pt idx="15">
                  <c:v>17.00000038146974</c:v>
                </c:pt>
                <c:pt idx="16">
                  <c:v>15.96000038146974</c:v>
                </c:pt>
                <c:pt idx="17">
                  <c:v>14.920000381469741</c:v>
                </c:pt>
                <c:pt idx="18">
                  <c:v>13.880000381469742</c:v>
                </c:pt>
                <c:pt idx="19">
                  <c:v>13.405000381469742</c:v>
                </c:pt>
                <c:pt idx="20">
                  <c:v>12.930000381469743</c:v>
                </c:pt>
                <c:pt idx="21">
                  <c:v>12.455000381469743</c:v>
                </c:pt>
                <c:pt idx="22">
                  <c:v>11.980000381469743</c:v>
                </c:pt>
                <c:pt idx="23">
                  <c:v>11.505000381469744</c:v>
                </c:pt>
                <c:pt idx="24">
                  <c:v>11.030000381469744</c:v>
                </c:pt>
                <c:pt idx="25">
                  <c:v>8.180000381469744</c:v>
                </c:pt>
                <c:pt idx="26">
                  <c:v>5.805000381469744</c:v>
                </c:pt>
                <c:pt idx="27">
                  <c:v>2.4800003814697447</c:v>
                </c:pt>
                <c:pt idx="28">
                  <c:v>-0.8449996185302551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'Sond.'!$Q$3</c:f>
              <c:strCache>
                <c:ptCount val="1"/>
                <c:pt idx="0">
                  <c:v>H agl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800 m </a:t>
                    </a:r>
                  </a:p>
                </c:rich>
              </c:tx>
              <c:numFmt formatCode="#,##0.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'Sond.'!$P$4:$P$15</c:f>
              <c:numCache>
                <c:ptCount val="12"/>
                <c:pt idx="0">
                  <c:v>32.419999999999995</c:v>
                </c:pt>
                <c:pt idx="1">
                  <c:v>31.379999999999995</c:v>
                </c:pt>
                <c:pt idx="2">
                  <c:v>30.339999999999996</c:v>
                </c:pt>
                <c:pt idx="3">
                  <c:v>29.299999999999997</c:v>
                </c:pt>
                <c:pt idx="4">
                  <c:v>28.259999999999998</c:v>
                </c:pt>
                <c:pt idx="5">
                  <c:v>27.22</c:v>
                </c:pt>
                <c:pt idx="6">
                  <c:v>26.18</c:v>
                </c:pt>
                <c:pt idx="7">
                  <c:v>25.14</c:v>
                </c:pt>
                <c:pt idx="8">
                  <c:v>24.1</c:v>
                </c:pt>
                <c:pt idx="9">
                  <c:v>19.1</c:v>
                </c:pt>
                <c:pt idx="10">
                  <c:v>14.100000000000001</c:v>
                </c:pt>
                <c:pt idx="11">
                  <c:v>9.100000000000001</c:v>
                </c:pt>
              </c:numCache>
            </c:numRef>
          </c:xVal>
          <c:yVal>
            <c:numRef>
              <c:f>'Sond.'!$Q$4:$Q$15</c:f>
              <c:numCache>
                <c:ptCount val="12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</c:numCache>
            </c:numRef>
          </c:yVal>
          <c:smooth val="0"/>
        </c:ser>
        <c:axId val="51152038"/>
        <c:axId val="57715159"/>
      </c:scatterChart>
      <c:valAx>
        <c:axId val="51152038"/>
        <c:scaling>
          <c:orientation val="minMax"/>
          <c:max val="4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(graus C)</a:t>
                </a:r>
              </a:p>
            </c:rich>
          </c:tx>
          <c:layout>
            <c:manualLayout>
              <c:xMode val="factor"/>
              <c:yMode val="factor"/>
              <c:x val="0.08125"/>
              <c:y val="-0.09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715159"/>
        <c:crosses val="max"/>
        <c:crossBetween val="midCat"/>
        <c:dispUnits/>
        <c:majorUnit val="5"/>
        <c:minorUnit val="5"/>
      </c:valAx>
      <c:valAx>
        <c:axId val="57715159"/>
        <c:scaling>
          <c:orientation val="minMax"/>
          <c:max val="3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agl (m)</a:t>
                </a:r>
              </a:p>
            </c:rich>
          </c:tx>
          <c:layout>
            <c:manualLayout>
              <c:xMode val="factor"/>
              <c:yMode val="factor"/>
              <c:x val="0.02575"/>
              <c:y val="0.1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1520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4"/>
        <c:delete val="1"/>
      </c:legendEntry>
      <c:layout>
        <c:manualLayout>
          <c:xMode val="edge"/>
          <c:yMode val="edge"/>
          <c:x val="0.46075"/>
          <c:y val="0.175"/>
          <c:w val="0.378"/>
          <c:h val="0.3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Evolução das Temperaturas
</a:t>
            </a:r>
            <a:r>
              <a:rPr lang="en-US" cap="none" sz="8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ao longo do dia</a:t>
            </a:r>
          </a:p>
        </c:rich>
      </c:tx>
      <c:layout>
        <c:manualLayout>
          <c:xMode val="factor"/>
          <c:yMode val="factor"/>
          <c:x val="0.02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11475"/>
          <c:w val="0.97625"/>
          <c:h val="0.8852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'Meteog.'!$J$3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'Meteog.'!$F$5:$F$10</c:f>
              <c:numCache>
                <c:ptCount val="6"/>
              </c:numCache>
            </c:numRef>
          </c:xVal>
          <c:yVal>
            <c:numRef>
              <c:f>'Meteog.'!$D$5:$D$10</c:f>
              <c:numCache>
                <c:ptCount val="6"/>
              </c:numCache>
            </c:numRef>
          </c:yVal>
          <c:smooth val="1"/>
        </c:ser>
        <c:ser>
          <c:idx val="0"/>
          <c:order val="1"/>
          <c:tx>
            <c:strRef>
              <c:f>'Meteog.'!$C$12</c:f>
              <c:strCache>
                <c:ptCount val="1"/>
                <c:pt idx="0">
                  <c:v>T NOAA</c:v>
                </c:pt>
              </c:strCache>
            </c:strRef>
          </c:tx>
          <c:spPr>
            <a:ln w="12700">
              <a:solidFill>
                <a:srgbClr val="FFCC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'Meteog.'!$I$13:$I$25</c:f>
              <c:numCache>
                <c:ptCount val="13"/>
                <c:pt idx="0">
                  <c:v>13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</c:numCache>
            </c:numRef>
          </c:xVal>
          <c:yVal>
            <c:numRef>
              <c:f>'Meteog.'!$C$13:$C$25</c:f>
              <c:numCache>
                <c:ptCount val="13"/>
                <c:pt idx="0">
                  <c:v>20.299999237060547</c:v>
                </c:pt>
                <c:pt idx="1">
                  <c:v>21.985203584155812</c:v>
                </c:pt>
                <c:pt idx="2">
                  <c:v>24.41787243870758</c:v>
                </c:pt>
                <c:pt idx="3">
                  <c:v>27</c:v>
                </c:pt>
                <c:pt idx="4">
                  <c:v>29.22013297893722</c:v>
                </c:pt>
                <c:pt idx="5">
                  <c:v>30.913029430129928</c:v>
                </c:pt>
                <c:pt idx="6">
                  <c:v>32</c:v>
                </c:pt>
                <c:pt idx="7">
                  <c:v>32.43056105225005</c:v>
                </c:pt>
                <c:pt idx="8">
                  <c:v>32.2670471504458</c:v>
                </c:pt>
                <c:pt idx="9">
                  <c:v>31.600000381469727</c:v>
                </c:pt>
                <c:pt idx="10">
                  <c:v>30.539108268953115</c:v>
                </c:pt>
                <c:pt idx="11">
                  <c:v>29.27063675966188</c:v>
                </c:pt>
                <c:pt idx="12">
                  <c:v>28</c:v>
                </c:pt>
              </c:numCache>
            </c:numRef>
          </c:yVal>
          <c:smooth val="1"/>
        </c:ser>
        <c:ser>
          <c:idx val="3"/>
          <c:order val="2"/>
          <c:tx>
            <c:strRef>
              <c:f>'Meteog.'!$D$12</c:f>
              <c:strCache>
                <c:ptCount val="1"/>
                <c:pt idx="0">
                  <c:v>T medida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'Meteog.'!$I$13:$I$25</c:f>
              <c:numCache>
                <c:ptCount val="13"/>
                <c:pt idx="0">
                  <c:v>13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</c:numCache>
            </c:numRef>
          </c:xVal>
          <c:yVal>
            <c:numRef>
              <c:f>'Meteog.'!$D$13:$D$25</c:f>
              <c:numCache>
                <c:ptCount val="13"/>
              </c:numCache>
            </c:numRef>
          </c:yVal>
          <c:smooth val="1"/>
        </c:ser>
        <c:ser>
          <c:idx val="1"/>
          <c:order val="3"/>
          <c:tx>
            <c:strRef>
              <c:f>'Meteog.'!$F$12</c:f>
              <c:strCache>
                <c:ptCount val="1"/>
                <c:pt idx="0">
                  <c:v>T est.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'Meteog.'!$I$13:$I$25</c:f>
              <c:numCache>
                <c:ptCount val="13"/>
                <c:pt idx="0">
                  <c:v>13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</c:numCache>
            </c:numRef>
          </c:xVal>
          <c:yVal>
            <c:numRef>
              <c:f>'Meteog.'!$F$13:$F$25</c:f>
              <c:numCache>
                <c:ptCount val="13"/>
                <c:pt idx="0">
                  <c:v>21.299999237060547</c:v>
                </c:pt>
                <c:pt idx="1">
                  <c:v>22.985203584155812</c:v>
                </c:pt>
                <c:pt idx="2">
                  <c:v>25.41787243870758</c:v>
                </c:pt>
                <c:pt idx="3">
                  <c:v>28</c:v>
                </c:pt>
                <c:pt idx="4">
                  <c:v>30.22013297893722</c:v>
                </c:pt>
                <c:pt idx="5">
                  <c:v>31.913029430129928</c:v>
                </c:pt>
                <c:pt idx="6">
                  <c:v>33</c:v>
                </c:pt>
                <c:pt idx="7">
                  <c:v>33.43056105225005</c:v>
                </c:pt>
                <c:pt idx="8">
                  <c:v>33.2670471504458</c:v>
                </c:pt>
                <c:pt idx="9">
                  <c:v>32.60000038146973</c:v>
                </c:pt>
                <c:pt idx="10">
                  <c:v>31.539108268953115</c:v>
                </c:pt>
                <c:pt idx="11">
                  <c:v>30.27063675966188</c:v>
                </c:pt>
                <c:pt idx="12">
                  <c:v>29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'Meteog.'!$H$12</c:f>
              <c:strCache>
                <c:ptCount val="1"/>
                <c:pt idx="0">
                  <c:v>P. Orv.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'Meteog.'!$I$13:$I$25</c:f>
              <c:numCache>
                <c:ptCount val="13"/>
                <c:pt idx="0">
                  <c:v>13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>
                  <c:v>25</c:v>
                </c:pt>
              </c:numCache>
            </c:numRef>
          </c:xVal>
          <c:yVal>
            <c:numRef>
              <c:f>'Meteog.'!$H$13:$H$25</c:f>
              <c:numCache>
                <c:ptCount val="13"/>
                <c:pt idx="0">
                  <c:v>18.799999237060547</c:v>
                </c:pt>
                <c:pt idx="1">
                  <c:v>19.115355435138586</c:v>
                </c:pt>
                <c:pt idx="2">
                  <c:v>19.42233568119442</c:v>
                </c:pt>
                <c:pt idx="3">
                  <c:v>19.399999618530273</c:v>
                </c:pt>
                <c:pt idx="4">
                  <c:v>18.844159404599765</c:v>
                </c:pt>
                <c:pt idx="5">
                  <c:v>18.0176348585247</c:v>
                </c:pt>
                <c:pt idx="6">
                  <c:v>17.299999237060547</c:v>
                </c:pt>
                <c:pt idx="7">
                  <c:v>16.98948648394937</c:v>
                </c:pt>
                <c:pt idx="8">
                  <c:v>17.058973820787717</c:v>
                </c:pt>
                <c:pt idx="9">
                  <c:v>17.399999618530273</c:v>
                </c:pt>
                <c:pt idx="10">
                  <c:v>17.88307724889527</c:v>
                </c:pt>
                <c:pt idx="11">
                  <c:v>18.294615373051066</c:v>
                </c:pt>
                <c:pt idx="12">
                  <c:v>18.399999618530273</c:v>
                </c:pt>
              </c:numCache>
            </c:numRef>
          </c:yVal>
          <c:smooth val="1"/>
        </c:ser>
        <c:axId val="49674384"/>
        <c:axId val="44416273"/>
      </c:scatterChart>
      <c:valAx>
        <c:axId val="49674384"/>
        <c:scaling>
          <c:orientation val="minMax"/>
          <c:max val="19"/>
          <c:min val="7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416273"/>
        <c:crosses val="autoZero"/>
        <c:crossBetween val="midCat"/>
        <c:dispUnits/>
        <c:majorUnit val="1"/>
      </c:valAx>
      <c:valAx>
        <c:axId val="44416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(graus)</a:t>
                </a:r>
              </a:p>
            </c:rich>
          </c:tx>
          <c:layout>
            <c:manualLayout>
              <c:xMode val="factor"/>
              <c:yMode val="factor"/>
              <c:x val="0.0275"/>
              <c:y val="0.07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7438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385"/>
          <c:y val="0.609"/>
          <c:w val="0.35825"/>
          <c:h val="0.2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Análise 
</a:t>
            </a:r>
          </a:p>
        </c:rich>
      </c:tx>
      <c:layout>
        <c:manualLayout>
          <c:xMode val="factor"/>
          <c:yMode val="factor"/>
          <c:x val="-0.05775"/>
          <c:y val="0.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26"/>
          <c:w val="0.99975"/>
          <c:h val="0.8685"/>
        </c:manualLayout>
      </c:layout>
      <c:scatterChart>
        <c:scatterStyle val="lineMarker"/>
        <c:varyColors val="0"/>
        <c:ser>
          <c:idx val="0"/>
          <c:order val="0"/>
          <c:tx>
            <c:v>  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'Sond.'!$N$4:$N$32</c:f>
              <c:numCache>
                <c:ptCount val="29"/>
                <c:pt idx="0">
                  <c:v>31.6</c:v>
                </c:pt>
                <c:pt idx="1">
                  <c:v>31</c:v>
                </c:pt>
                <c:pt idx="2">
                  <c:v>30.4</c:v>
                </c:pt>
                <c:pt idx="3">
                  <c:v>29.25</c:v>
                </c:pt>
                <c:pt idx="4">
                  <c:v>28.1</c:v>
                </c:pt>
                <c:pt idx="5">
                  <c:v>27.1</c:v>
                </c:pt>
                <c:pt idx="6">
                  <c:v>26.1</c:v>
                </c:pt>
                <c:pt idx="7">
                  <c:v>25.1</c:v>
                </c:pt>
                <c:pt idx="8">
                  <c:v>24.1</c:v>
                </c:pt>
                <c:pt idx="9">
                  <c:v>23.1</c:v>
                </c:pt>
                <c:pt idx="10">
                  <c:v>22.080000000000002</c:v>
                </c:pt>
                <c:pt idx="11">
                  <c:v>21.060000000000002</c:v>
                </c:pt>
                <c:pt idx="12">
                  <c:v>20.040000000000003</c:v>
                </c:pt>
                <c:pt idx="13">
                  <c:v>19.020000000000003</c:v>
                </c:pt>
                <c:pt idx="14">
                  <c:v>18</c:v>
                </c:pt>
                <c:pt idx="15">
                  <c:v>16.94</c:v>
                </c:pt>
                <c:pt idx="16">
                  <c:v>15.88</c:v>
                </c:pt>
                <c:pt idx="17">
                  <c:v>14.82</c:v>
                </c:pt>
                <c:pt idx="18">
                  <c:v>13.76</c:v>
                </c:pt>
                <c:pt idx="19">
                  <c:v>12.7</c:v>
                </c:pt>
                <c:pt idx="20">
                  <c:v>11.92</c:v>
                </c:pt>
                <c:pt idx="21">
                  <c:v>11.14</c:v>
                </c:pt>
                <c:pt idx="22">
                  <c:v>10.360000000000001</c:v>
                </c:pt>
                <c:pt idx="23">
                  <c:v>9.580000000000002</c:v>
                </c:pt>
                <c:pt idx="24">
                  <c:v>8.8</c:v>
                </c:pt>
                <c:pt idx="25">
                  <c:v>5.2</c:v>
                </c:pt>
                <c:pt idx="26">
                  <c:v>2.5</c:v>
                </c:pt>
                <c:pt idx="27">
                  <c:v>-1.8</c:v>
                </c:pt>
                <c:pt idx="28">
                  <c:v>-6.3</c:v>
                </c:pt>
              </c:numCache>
            </c:numRef>
          </c:xVal>
          <c:yVal>
            <c:numRef>
              <c:f>'Sond.'!$O$4:$O$32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1"/>
          <c:order val="1"/>
          <c:tx>
            <c:v>  PO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'Sond.'!$G$4:$G$32</c:f>
              <c:numCache>
                <c:ptCount val="29"/>
                <c:pt idx="0">
                  <c:v>17.5</c:v>
                </c:pt>
                <c:pt idx="1">
                  <c:v>16.4</c:v>
                </c:pt>
                <c:pt idx="2">
                  <c:v>15.3</c:v>
                </c:pt>
                <c:pt idx="3">
                  <c:v>15</c:v>
                </c:pt>
                <c:pt idx="4">
                  <c:v>14.7</c:v>
                </c:pt>
                <c:pt idx="5">
                  <c:v>14.479999999999999</c:v>
                </c:pt>
                <c:pt idx="6">
                  <c:v>14.259999999999998</c:v>
                </c:pt>
                <c:pt idx="7">
                  <c:v>14.039999999999997</c:v>
                </c:pt>
                <c:pt idx="8">
                  <c:v>13.819999999999997</c:v>
                </c:pt>
                <c:pt idx="9">
                  <c:v>13.6</c:v>
                </c:pt>
                <c:pt idx="10">
                  <c:v>13.4</c:v>
                </c:pt>
                <c:pt idx="11">
                  <c:v>13.200000000000001</c:v>
                </c:pt>
                <c:pt idx="12">
                  <c:v>13.000000000000002</c:v>
                </c:pt>
                <c:pt idx="13">
                  <c:v>12.800000000000002</c:v>
                </c:pt>
                <c:pt idx="14">
                  <c:v>12.6</c:v>
                </c:pt>
                <c:pt idx="15">
                  <c:v>12.36</c:v>
                </c:pt>
                <c:pt idx="16">
                  <c:v>12.12</c:v>
                </c:pt>
                <c:pt idx="17">
                  <c:v>11.879999999999999</c:v>
                </c:pt>
                <c:pt idx="18">
                  <c:v>11.639999999999999</c:v>
                </c:pt>
                <c:pt idx="19">
                  <c:v>11.4</c:v>
                </c:pt>
                <c:pt idx="20">
                  <c:v>10.5</c:v>
                </c:pt>
                <c:pt idx="21">
                  <c:v>9.6</c:v>
                </c:pt>
                <c:pt idx="22">
                  <c:v>8.7</c:v>
                </c:pt>
                <c:pt idx="23">
                  <c:v>7.799999999999999</c:v>
                </c:pt>
                <c:pt idx="24">
                  <c:v>6.9</c:v>
                </c:pt>
                <c:pt idx="25">
                  <c:v>2.1</c:v>
                </c:pt>
                <c:pt idx="26">
                  <c:v>-3.8</c:v>
                </c:pt>
                <c:pt idx="27">
                  <c:v>-8.1</c:v>
                </c:pt>
                <c:pt idx="28">
                  <c:v>-14.8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2"/>
          <c:order val="2"/>
          <c:tx>
            <c:v>  PO na térmica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'Sond.'!$J$4:$J$32</c:f>
              <c:numCache>
                <c:ptCount val="29"/>
                <c:pt idx="0">
                  <c:v>17.399999618530273</c:v>
                </c:pt>
                <c:pt idx="1">
                  <c:v>17.199999618530274</c:v>
                </c:pt>
                <c:pt idx="2">
                  <c:v>16.999999618530275</c:v>
                </c:pt>
                <c:pt idx="3">
                  <c:v>16.799999618530276</c:v>
                </c:pt>
                <c:pt idx="4">
                  <c:v>16.599999618530276</c:v>
                </c:pt>
                <c:pt idx="5">
                  <c:v>16.399999618530277</c:v>
                </c:pt>
                <c:pt idx="6">
                  <c:v>16.199999618530278</c:v>
                </c:pt>
                <c:pt idx="7">
                  <c:v>15.999999618530278</c:v>
                </c:pt>
                <c:pt idx="8">
                  <c:v>15.79999961853028</c:v>
                </c:pt>
                <c:pt idx="9">
                  <c:v>15.59999961853028</c:v>
                </c:pt>
                <c:pt idx="10">
                  <c:v>15.39999961853028</c:v>
                </c:pt>
                <c:pt idx="11">
                  <c:v>15.199999618530281</c:v>
                </c:pt>
                <c:pt idx="12">
                  <c:v>14.999999618530282</c:v>
                </c:pt>
                <c:pt idx="13">
                  <c:v>14.799999618530283</c:v>
                </c:pt>
                <c:pt idx="14">
                  <c:v>14.599999618530283</c:v>
                </c:pt>
                <c:pt idx="15">
                  <c:v>14.399999618530284</c:v>
                </c:pt>
                <c:pt idx="16">
                  <c:v>14.199999618530285</c:v>
                </c:pt>
                <c:pt idx="17">
                  <c:v>13.999999618530286</c:v>
                </c:pt>
                <c:pt idx="18">
                  <c:v>13.799999618530286</c:v>
                </c:pt>
                <c:pt idx="19">
                  <c:v>13.599999618530287</c:v>
                </c:pt>
                <c:pt idx="20">
                  <c:v>13.399999618530288</c:v>
                </c:pt>
                <c:pt idx="21">
                  <c:v>13.199999618530288</c:v>
                </c:pt>
                <c:pt idx="22">
                  <c:v>12.999999618530289</c:v>
                </c:pt>
                <c:pt idx="23">
                  <c:v>12.79999961853029</c:v>
                </c:pt>
                <c:pt idx="24">
                  <c:v>12.59999961853029</c:v>
                </c:pt>
                <c:pt idx="25">
                  <c:v>11.399999618530291</c:v>
                </c:pt>
                <c:pt idx="26">
                  <c:v>10.399999618530291</c:v>
                </c:pt>
                <c:pt idx="27">
                  <c:v>8.99999961853029</c:v>
                </c:pt>
                <c:pt idx="28">
                  <c:v>7.5999996185302905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ser>
          <c:idx val="3"/>
          <c:order val="3"/>
          <c:tx>
            <c:v>Adiabática (seca+úmida)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.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'Sond.'!$M$4:$M$31</c:f>
              <c:numCache>
                <c:ptCount val="28"/>
                <c:pt idx="0">
                  <c:v>32.60000038146973</c:v>
                </c:pt>
                <c:pt idx="1">
                  <c:v>31.560000381469727</c:v>
                </c:pt>
                <c:pt idx="2">
                  <c:v>30.52000038146973</c:v>
                </c:pt>
                <c:pt idx="3">
                  <c:v>29.48000038146973</c:v>
                </c:pt>
                <c:pt idx="4">
                  <c:v>28.44000038146973</c:v>
                </c:pt>
                <c:pt idx="5">
                  <c:v>27.40000038146973</c:v>
                </c:pt>
                <c:pt idx="6">
                  <c:v>26.36000038146973</c:v>
                </c:pt>
                <c:pt idx="7">
                  <c:v>25.320000381469733</c:v>
                </c:pt>
                <c:pt idx="8">
                  <c:v>24.280000381469733</c:v>
                </c:pt>
                <c:pt idx="9">
                  <c:v>23.240000381469734</c:v>
                </c:pt>
                <c:pt idx="10">
                  <c:v>22.200000381469735</c:v>
                </c:pt>
                <c:pt idx="11">
                  <c:v>21.160000381469736</c:v>
                </c:pt>
                <c:pt idx="12">
                  <c:v>20.120000381469737</c:v>
                </c:pt>
                <c:pt idx="13">
                  <c:v>19.080000381469738</c:v>
                </c:pt>
                <c:pt idx="14">
                  <c:v>18.04000038146974</c:v>
                </c:pt>
                <c:pt idx="15">
                  <c:v>17.00000038146974</c:v>
                </c:pt>
                <c:pt idx="16">
                  <c:v>15.96000038146974</c:v>
                </c:pt>
                <c:pt idx="17">
                  <c:v>14.920000381469741</c:v>
                </c:pt>
                <c:pt idx="18">
                  <c:v>13.880000381469742</c:v>
                </c:pt>
                <c:pt idx="19">
                  <c:v>13.405000381469742</c:v>
                </c:pt>
                <c:pt idx="20">
                  <c:v>12.930000381469743</c:v>
                </c:pt>
                <c:pt idx="21">
                  <c:v>12.455000381469743</c:v>
                </c:pt>
                <c:pt idx="22">
                  <c:v>11.980000381469743</c:v>
                </c:pt>
                <c:pt idx="23">
                  <c:v>11.505000381469744</c:v>
                </c:pt>
                <c:pt idx="24">
                  <c:v>11.030000381469744</c:v>
                </c:pt>
                <c:pt idx="25">
                  <c:v>8.180000381469744</c:v>
                </c:pt>
                <c:pt idx="26">
                  <c:v>5.805000381469744</c:v>
                </c:pt>
                <c:pt idx="27">
                  <c:v>2.4800003814697447</c:v>
                </c:pt>
              </c:numCache>
            </c:numRef>
          </c:xVal>
          <c:yVal>
            <c:numRef>
              <c:f>'Sond.'!$H$4:$H$32</c:f>
              <c:numCache>
                <c:ptCount val="29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2100</c:v>
                </c:pt>
                <c:pt idx="22">
                  <c:v>2200</c:v>
                </c:pt>
                <c:pt idx="23">
                  <c:v>2300</c:v>
                </c:pt>
                <c:pt idx="24">
                  <c:v>2400</c:v>
                </c:pt>
                <c:pt idx="25">
                  <c:v>3000</c:v>
                </c:pt>
                <c:pt idx="26">
                  <c:v>3500</c:v>
                </c:pt>
                <c:pt idx="27">
                  <c:v>4200</c:v>
                </c:pt>
                <c:pt idx="28">
                  <c:v>4900</c:v>
                </c:pt>
              </c:numCache>
            </c:numRef>
          </c:yVal>
          <c:smooth val="0"/>
        </c:ser>
        <c:axId val="64202138"/>
        <c:axId val="40948331"/>
      </c:scatterChart>
      <c:valAx>
        <c:axId val="64202138"/>
        <c:scaling>
          <c:orientation val="minMax"/>
          <c:max val="4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 (graus C)</a:t>
                </a:r>
              </a:p>
            </c:rich>
          </c:tx>
          <c:layout>
            <c:manualLayout>
              <c:xMode val="factor"/>
              <c:yMode val="factor"/>
              <c:x val="0.03525"/>
              <c:y val="-0.09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948331"/>
        <c:crosses val="max"/>
        <c:crossBetween val="midCat"/>
        <c:dispUnits/>
        <c:majorUnit val="5"/>
        <c:minorUnit val="5"/>
      </c:valAx>
      <c:valAx>
        <c:axId val="40948331"/>
        <c:scaling>
          <c:orientation val="minMax"/>
          <c:max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 agl (m)</a:t>
                </a:r>
              </a:p>
            </c:rich>
          </c:tx>
          <c:layout>
            <c:manualLayout>
              <c:xMode val="factor"/>
              <c:yMode val="factor"/>
              <c:x val="0.028"/>
              <c:y val="0.10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0213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925"/>
          <c:y val="0.5275"/>
          <c:w val="0.407"/>
          <c:h val="0.2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Estimativa de cobertura de cúmulos</a:t>
            </a:r>
          </a:p>
        </c:rich>
      </c:tx>
      <c:layout>
        <c:manualLayout>
          <c:xMode val="factor"/>
          <c:yMode val="factor"/>
          <c:x val="0.01575"/>
          <c:y val="-0.01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5"/>
          <c:y val="0.09725"/>
          <c:w val="0.95225"/>
          <c:h val="0.87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Análise!$S$27</c:f>
              <c:strCache>
                <c:ptCount val="1"/>
                <c:pt idx="0">
                  <c:v/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Análise!$U$27:$U$34</c:f>
              <c:numCache/>
            </c:numRef>
          </c:xVal>
          <c:yVal>
            <c:numRef>
              <c:f>Análise!$V$27:$V$34</c:f>
              <c:numCache/>
            </c:numRef>
          </c:yVal>
          <c:smooth val="1"/>
        </c:ser>
        <c:axId val="32990660"/>
        <c:axId val="28480485"/>
      </c:scatterChart>
      <c:valAx>
        <c:axId val="32990660"/>
        <c:scaling>
          <c:orientation val="minMax"/>
          <c:max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Delta P. Orvalho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2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480485"/>
        <c:crosses val="autoZero"/>
        <c:crossBetween val="midCat"/>
        <c:dispUnits/>
        <c:majorUnit val="1"/>
      </c:valAx>
      <c:valAx>
        <c:axId val="28480485"/>
        <c:scaling>
          <c:orientation val="minMax"/>
          <c:max val="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Oitavos de cúmulos</a:t>
                </a:r>
              </a:p>
            </c:rich>
          </c:tx>
          <c:layout>
            <c:manualLayout>
              <c:xMode val="factor"/>
              <c:yMode val="factor"/>
              <c:x val="0.007"/>
              <c:y val="-0.04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066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142875</xdr:colOff>
      <xdr:row>34</xdr:row>
      <xdr:rowOff>133350</xdr:rowOff>
    </xdr:from>
    <xdr:to>
      <xdr:col>16</xdr:col>
      <xdr:colOff>390525</xdr:colOff>
      <xdr:row>57</xdr:row>
      <xdr:rowOff>104775</xdr:rowOff>
    </xdr:to>
    <xdr:graphicFrame>
      <xdr:nvGraphicFramePr>
        <xdr:cNvPr id="1" name="Gráfico 5"/>
        <xdr:cNvGraphicFramePr/>
      </xdr:nvGraphicFramePr>
      <xdr:xfrm>
        <a:off x="6238875" y="5638800"/>
        <a:ext cx="39052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6</xdr:row>
      <xdr:rowOff>152400</xdr:rowOff>
    </xdr:from>
    <xdr:to>
      <xdr:col>28</xdr:col>
      <xdr:colOff>523875</xdr:colOff>
      <xdr:row>25</xdr:row>
      <xdr:rowOff>142875</xdr:rowOff>
    </xdr:to>
    <xdr:graphicFrame>
      <xdr:nvGraphicFramePr>
        <xdr:cNvPr id="1" name="Chart 5"/>
        <xdr:cNvGraphicFramePr/>
      </xdr:nvGraphicFramePr>
      <xdr:xfrm>
        <a:off x="10448925" y="1123950"/>
        <a:ext cx="5295900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333375</xdr:colOff>
      <xdr:row>48</xdr:row>
      <xdr:rowOff>152400</xdr:rowOff>
    </xdr:from>
    <xdr:to>
      <xdr:col>28</xdr:col>
      <xdr:colOff>333375</xdr:colOff>
      <xdr:row>50</xdr:row>
      <xdr:rowOff>85725</xdr:rowOff>
    </xdr:to>
    <xdr:sp>
      <xdr:nvSpPr>
        <xdr:cNvPr id="2" name="Retângulo 6"/>
        <xdr:cNvSpPr>
          <a:spLocks/>
        </xdr:cNvSpPr>
      </xdr:nvSpPr>
      <xdr:spPr>
        <a:xfrm rot="11592873">
          <a:off x="12258675" y="7962900"/>
          <a:ext cx="3295650" cy="2571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571500</xdr:colOff>
      <xdr:row>40</xdr:row>
      <xdr:rowOff>28575</xdr:rowOff>
    </xdr:from>
    <xdr:to>
      <xdr:col>23</xdr:col>
      <xdr:colOff>161925</xdr:colOff>
      <xdr:row>58</xdr:row>
      <xdr:rowOff>152400</xdr:rowOff>
    </xdr:to>
    <xdr:graphicFrame>
      <xdr:nvGraphicFramePr>
        <xdr:cNvPr id="3" name="Chart 5"/>
        <xdr:cNvGraphicFramePr/>
      </xdr:nvGraphicFramePr>
      <xdr:xfrm>
        <a:off x="7696200" y="6524625"/>
        <a:ext cx="5286375" cy="3076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76200</xdr:colOff>
      <xdr:row>11</xdr:row>
      <xdr:rowOff>114300</xdr:rowOff>
    </xdr:from>
    <xdr:to>
      <xdr:col>31</xdr:col>
      <xdr:colOff>0</xdr:colOff>
      <xdr:row>40</xdr:row>
      <xdr:rowOff>85725</xdr:rowOff>
    </xdr:to>
    <xdr:graphicFrame>
      <xdr:nvGraphicFramePr>
        <xdr:cNvPr id="1" name="Chart 23"/>
        <xdr:cNvGraphicFramePr/>
      </xdr:nvGraphicFramePr>
      <xdr:xfrm>
        <a:off x="11982450" y="1895475"/>
        <a:ext cx="480060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457200</xdr:colOff>
      <xdr:row>1</xdr:row>
      <xdr:rowOff>38100</xdr:rowOff>
    </xdr:from>
    <xdr:to>
      <xdr:col>15</xdr:col>
      <xdr:colOff>276225</xdr:colOff>
      <xdr:row>25</xdr:row>
      <xdr:rowOff>47625</xdr:rowOff>
    </xdr:to>
    <xdr:graphicFrame>
      <xdr:nvGraphicFramePr>
        <xdr:cNvPr id="1" name="Chart 2"/>
        <xdr:cNvGraphicFramePr/>
      </xdr:nvGraphicFramePr>
      <xdr:xfrm>
        <a:off x="4724400" y="200025"/>
        <a:ext cx="469582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161925</xdr:colOff>
      <xdr:row>0</xdr:row>
      <xdr:rowOff>85725</xdr:rowOff>
    </xdr:from>
    <xdr:to>
      <xdr:col>6</xdr:col>
      <xdr:colOff>390525</xdr:colOff>
      <xdr:row>13</xdr:row>
      <xdr:rowOff>161925</xdr:rowOff>
    </xdr:to>
    <xdr:graphicFrame>
      <xdr:nvGraphicFramePr>
        <xdr:cNvPr id="2" name="Chart 6"/>
        <xdr:cNvGraphicFramePr/>
      </xdr:nvGraphicFramePr>
      <xdr:xfrm>
        <a:off x="771525" y="85725"/>
        <a:ext cx="3276600" cy="2181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24</xdr:row>
      <xdr:rowOff>28575</xdr:rowOff>
    </xdr:from>
    <xdr:to>
      <xdr:col>25</xdr:col>
      <xdr:colOff>161925</xdr:colOff>
      <xdr:row>48</xdr:row>
      <xdr:rowOff>0</xdr:rowOff>
    </xdr:to>
    <xdr:graphicFrame>
      <xdr:nvGraphicFramePr>
        <xdr:cNvPr id="3" name="Chart 2"/>
        <xdr:cNvGraphicFramePr/>
      </xdr:nvGraphicFramePr>
      <xdr:xfrm>
        <a:off x="10706100" y="3914775"/>
        <a:ext cx="4695825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12</xdr:col>
      <xdr:colOff>295275</xdr:colOff>
      <xdr:row>39</xdr:row>
      <xdr:rowOff>123825</xdr:rowOff>
    </xdr:from>
    <xdr:to>
      <xdr:col>16</xdr:col>
      <xdr:colOff>371475</xdr:colOff>
      <xdr:row>53</xdr:row>
      <xdr:rowOff>123825</xdr:rowOff>
    </xdr:to>
    <xdr:graphicFrame>
      <xdr:nvGraphicFramePr>
        <xdr:cNvPr id="4" name="Gráfico 5"/>
        <xdr:cNvGraphicFramePr/>
      </xdr:nvGraphicFramePr>
      <xdr:xfrm>
        <a:off x="7610475" y="6477000"/>
        <a:ext cx="2514600" cy="2266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8</xdr:row>
      <xdr:rowOff>361950</xdr:rowOff>
    </xdr:from>
    <xdr:to>
      <xdr:col>13</xdr:col>
      <xdr:colOff>476250</xdr:colOff>
      <xdr:row>8</xdr:row>
      <xdr:rowOff>600075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11001375" y="4162425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/8</a:t>
          </a:r>
        </a:p>
      </xdr:txBody>
    </xdr:sp>
    <xdr:clientData/>
  </xdr:twoCellAnchor>
  <xdr:twoCellAnchor>
    <xdr:from>
      <xdr:col>5</xdr:col>
      <xdr:colOff>95250</xdr:colOff>
      <xdr:row>6</xdr:row>
      <xdr:rowOff>76200</xdr:rowOff>
    </xdr:from>
    <xdr:to>
      <xdr:col>5</xdr:col>
      <xdr:colOff>800100</xdr:colOff>
      <xdr:row>7</xdr:row>
      <xdr:rowOff>228600</xdr:rowOff>
    </xdr:to>
    <xdr:sp>
      <xdr:nvSpPr>
        <xdr:cNvPr id="2" name="Drawing 6"/>
        <xdr:cNvSpPr>
          <a:spLocks/>
        </xdr:cNvSpPr>
      </xdr:nvSpPr>
      <xdr:spPr>
        <a:xfrm>
          <a:off x="4362450" y="2486025"/>
          <a:ext cx="704850" cy="8477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533400</xdr:colOff>
      <xdr:row>10</xdr:row>
      <xdr:rowOff>95250</xdr:rowOff>
    </xdr:from>
    <xdr:to>
      <xdr:col>14</xdr:col>
      <xdr:colOff>381000</xdr:colOff>
      <xdr:row>10</xdr:row>
      <xdr:rowOff>228600</xdr:rowOff>
    </xdr:to>
    <xdr:sp>
      <xdr:nvSpPr>
        <xdr:cNvPr id="3" name="Line 6"/>
        <xdr:cNvSpPr>
          <a:spLocks/>
        </xdr:cNvSpPr>
      </xdr:nvSpPr>
      <xdr:spPr>
        <a:xfrm flipH="1">
          <a:off x="11515725" y="5286375"/>
          <a:ext cx="561975" cy="1333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419100</xdr:colOff>
      <xdr:row>10</xdr:row>
      <xdr:rowOff>638175</xdr:rowOff>
    </xdr:from>
    <xdr:to>
      <xdr:col>14</xdr:col>
      <xdr:colOff>76200</xdr:colOff>
      <xdr:row>10</xdr:row>
      <xdr:rowOff>647700</xdr:rowOff>
    </xdr:to>
    <xdr:sp>
      <xdr:nvSpPr>
        <xdr:cNvPr id="4" name="Line 6"/>
        <xdr:cNvSpPr>
          <a:spLocks/>
        </xdr:cNvSpPr>
      </xdr:nvSpPr>
      <xdr:spPr>
        <a:xfrm flipH="1">
          <a:off x="11401425" y="5829300"/>
          <a:ext cx="371475" cy="95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419100</xdr:colOff>
      <xdr:row>21</xdr:row>
      <xdr:rowOff>114300</xdr:rowOff>
    </xdr:from>
    <xdr:to>
      <xdr:col>15</xdr:col>
      <xdr:colOff>285750</xdr:colOff>
      <xdr:row>27</xdr:row>
      <xdr:rowOff>38100</xdr:rowOff>
    </xdr:to>
    <xdr:sp>
      <xdr:nvSpPr>
        <xdr:cNvPr id="5" name="Drawing 6"/>
        <xdr:cNvSpPr>
          <a:spLocks/>
        </xdr:cNvSpPr>
      </xdr:nvSpPr>
      <xdr:spPr>
        <a:xfrm>
          <a:off x="12115800" y="8086725"/>
          <a:ext cx="476250" cy="89535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85725</xdr:colOff>
      <xdr:row>13</xdr:row>
      <xdr:rowOff>114300</xdr:rowOff>
    </xdr:from>
    <xdr:to>
      <xdr:col>13</xdr:col>
      <xdr:colOff>114300</xdr:colOff>
      <xdr:row>14</xdr:row>
      <xdr:rowOff>114300</xdr:rowOff>
    </xdr:to>
    <xdr:sp>
      <xdr:nvSpPr>
        <xdr:cNvPr id="6" name="Line 6"/>
        <xdr:cNvSpPr>
          <a:spLocks/>
        </xdr:cNvSpPr>
      </xdr:nvSpPr>
      <xdr:spPr>
        <a:xfrm flipH="1" flipV="1">
          <a:off x="11068050" y="6457950"/>
          <a:ext cx="28575" cy="228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561975</xdr:colOff>
      <xdr:row>12</xdr:row>
      <xdr:rowOff>9525</xdr:rowOff>
    </xdr:from>
    <xdr:to>
      <xdr:col>2</xdr:col>
      <xdr:colOff>152400</xdr:colOff>
      <xdr:row>13</xdr:row>
      <xdr:rowOff>9525</xdr:rowOff>
    </xdr:to>
    <xdr:sp>
      <xdr:nvSpPr>
        <xdr:cNvPr id="7" name="Line 6"/>
        <xdr:cNvSpPr>
          <a:spLocks/>
        </xdr:cNvSpPr>
      </xdr:nvSpPr>
      <xdr:spPr>
        <a:xfrm flipH="1">
          <a:off x="1171575" y="6124575"/>
          <a:ext cx="504825" cy="2286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123825</xdr:rowOff>
    </xdr:from>
    <xdr:to>
      <xdr:col>6</xdr:col>
      <xdr:colOff>428625</xdr:colOff>
      <xdr:row>8</xdr:row>
      <xdr:rowOff>28575</xdr:rowOff>
    </xdr:to>
    <xdr:sp>
      <xdr:nvSpPr>
        <xdr:cNvPr id="8" name="Line 6"/>
        <xdr:cNvSpPr>
          <a:spLocks/>
        </xdr:cNvSpPr>
      </xdr:nvSpPr>
      <xdr:spPr>
        <a:xfrm flipV="1">
          <a:off x="5600700" y="3228975"/>
          <a:ext cx="9525" cy="600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438150</xdr:colOff>
      <xdr:row>8</xdr:row>
      <xdr:rowOff>295275</xdr:rowOff>
    </xdr:from>
    <xdr:to>
      <xdr:col>3</xdr:col>
      <xdr:colOff>447675</xdr:colOff>
      <xdr:row>9</xdr:row>
      <xdr:rowOff>200025</xdr:rowOff>
    </xdr:to>
    <xdr:sp>
      <xdr:nvSpPr>
        <xdr:cNvPr id="9" name="Line 6"/>
        <xdr:cNvSpPr>
          <a:spLocks/>
        </xdr:cNvSpPr>
      </xdr:nvSpPr>
      <xdr:spPr>
        <a:xfrm flipV="1">
          <a:off x="2876550" y="4095750"/>
          <a:ext cx="9525" cy="600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504825</xdr:colOff>
      <xdr:row>7</xdr:row>
      <xdr:rowOff>428625</xdr:rowOff>
    </xdr:from>
    <xdr:to>
      <xdr:col>4</xdr:col>
      <xdr:colOff>514350</xdr:colOff>
      <xdr:row>8</xdr:row>
      <xdr:rowOff>333375</xdr:rowOff>
    </xdr:to>
    <xdr:sp>
      <xdr:nvSpPr>
        <xdr:cNvPr id="10" name="Line 6"/>
        <xdr:cNvSpPr>
          <a:spLocks/>
        </xdr:cNvSpPr>
      </xdr:nvSpPr>
      <xdr:spPr>
        <a:xfrm flipV="1">
          <a:off x="3857625" y="3533775"/>
          <a:ext cx="9525" cy="600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428625</xdr:colOff>
      <xdr:row>7</xdr:row>
      <xdr:rowOff>247650</xdr:rowOff>
    </xdr:from>
    <xdr:to>
      <xdr:col>5</xdr:col>
      <xdr:colOff>438150</xdr:colOff>
      <xdr:row>8</xdr:row>
      <xdr:rowOff>142875</xdr:rowOff>
    </xdr:to>
    <xdr:sp>
      <xdr:nvSpPr>
        <xdr:cNvPr id="11" name="Line 6"/>
        <xdr:cNvSpPr>
          <a:spLocks/>
        </xdr:cNvSpPr>
      </xdr:nvSpPr>
      <xdr:spPr>
        <a:xfrm flipV="1">
          <a:off x="4695825" y="3352800"/>
          <a:ext cx="9525" cy="5905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5</xdr:row>
      <xdr:rowOff>371475</xdr:rowOff>
    </xdr:from>
    <xdr:to>
      <xdr:col>12</xdr:col>
      <xdr:colOff>276225</xdr:colOff>
      <xdr:row>6</xdr:row>
      <xdr:rowOff>352425</xdr:rowOff>
    </xdr:to>
    <xdr:sp>
      <xdr:nvSpPr>
        <xdr:cNvPr id="12" name="Line 6"/>
        <xdr:cNvSpPr>
          <a:spLocks/>
        </xdr:cNvSpPr>
      </xdr:nvSpPr>
      <xdr:spPr>
        <a:xfrm flipV="1">
          <a:off x="10544175" y="2085975"/>
          <a:ext cx="0" cy="6762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466725</xdr:colOff>
      <xdr:row>7</xdr:row>
      <xdr:rowOff>304800</xdr:rowOff>
    </xdr:from>
    <xdr:to>
      <xdr:col>7</xdr:col>
      <xdr:colOff>476250</xdr:colOff>
      <xdr:row>8</xdr:row>
      <xdr:rowOff>200025</xdr:rowOff>
    </xdr:to>
    <xdr:sp>
      <xdr:nvSpPr>
        <xdr:cNvPr id="13" name="Line 6"/>
        <xdr:cNvSpPr>
          <a:spLocks/>
        </xdr:cNvSpPr>
      </xdr:nvSpPr>
      <xdr:spPr>
        <a:xfrm flipV="1">
          <a:off x="6562725" y="3409950"/>
          <a:ext cx="9525" cy="5905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6</xdr:row>
      <xdr:rowOff>219075</xdr:rowOff>
    </xdr:from>
    <xdr:to>
      <xdr:col>7</xdr:col>
      <xdr:colOff>885825</xdr:colOff>
      <xdr:row>7</xdr:row>
      <xdr:rowOff>266700</xdr:rowOff>
    </xdr:to>
    <xdr:sp>
      <xdr:nvSpPr>
        <xdr:cNvPr id="14" name="Drawing 6"/>
        <xdr:cNvSpPr>
          <a:spLocks/>
        </xdr:cNvSpPr>
      </xdr:nvSpPr>
      <xdr:spPr>
        <a:xfrm>
          <a:off x="6219825" y="2628900"/>
          <a:ext cx="762000" cy="74295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3</xdr:row>
      <xdr:rowOff>104775</xdr:rowOff>
    </xdr:from>
    <xdr:to>
      <xdr:col>15</xdr:col>
      <xdr:colOff>114300</xdr:colOff>
      <xdr:row>5</xdr:row>
      <xdr:rowOff>371475</xdr:rowOff>
    </xdr:to>
    <xdr:sp>
      <xdr:nvSpPr>
        <xdr:cNvPr id="15" name="Drawing 6"/>
        <xdr:cNvSpPr>
          <a:spLocks/>
        </xdr:cNvSpPr>
      </xdr:nvSpPr>
      <xdr:spPr>
        <a:xfrm>
          <a:off x="11887200" y="828675"/>
          <a:ext cx="533400" cy="125730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504825</xdr:colOff>
      <xdr:row>6</xdr:row>
      <xdr:rowOff>552450</xdr:rowOff>
    </xdr:from>
    <xdr:to>
      <xdr:col>18</xdr:col>
      <xdr:colOff>228600</xdr:colOff>
      <xdr:row>7</xdr:row>
      <xdr:rowOff>695325</xdr:rowOff>
    </xdr:to>
    <xdr:sp>
      <xdr:nvSpPr>
        <xdr:cNvPr id="16" name="Drawing 6"/>
        <xdr:cNvSpPr>
          <a:spLocks/>
        </xdr:cNvSpPr>
      </xdr:nvSpPr>
      <xdr:spPr>
        <a:xfrm>
          <a:off x="13420725" y="2962275"/>
          <a:ext cx="942975" cy="83820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5</xdr:row>
      <xdr:rowOff>238125</xdr:rowOff>
    </xdr:from>
    <xdr:to>
      <xdr:col>7</xdr:col>
      <xdr:colOff>47625</xdr:colOff>
      <xdr:row>7</xdr:row>
      <xdr:rowOff>123825</xdr:rowOff>
    </xdr:to>
    <xdr:sp>
      <xdr:nvSpPr>
        <xdr:cNvPr id="17" name="Drawing 6"/>
        <xdr:cNvSpPr>
          <a:spLocks/>
        </xdr:cNvSpPr>
      </xdr:nvSpPr>
      <xdr:spPr>
        <a:xfrm>
          <a:off x="5200650" y="1952625"/>
          <a:ext cx="942975" cy="127635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838200</xdr:colOff>
      <xdr:row>24</xdr:row>
      <xdr:rowOff>114300</xdr:rowOff>
    </xdr:from>
    <xdr:to>
      <xdr:col>8</xdr:col>
      <xdr:colOff>733425</xdr:colOff>
      <xdr:row>32</xdr:row>
      <xdr:rowOff>85725</xdr:rowOff>
    </xdr:to>
    <xdr:sp>
      <xdr:nvSpPr>
        <xdr:cNvPr id="18" name="Drawing 6"/>
        <xdr:cNvSpPr>
          <a:spLocks/>
        </xdr:cNvSpPr>
      </xdr:nvSpPr>
      <xdr:spPr>
        <a:xfrm>
          <a:off x="6934200" y="8572500"/>
          <a:ext cx="809625" cy="12668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561975</xdr:colOff>
      <xdr:row>11</xdr:row>
      <xdr:rowOff>190500</xdr:rowOff>
    </xdr:from>
    <xdr:to>
      <xdr:col>7</xdr:col>
      <xdr:colOff>876300</xdr:colOff>
      <xdr:row>13</xdr:row>
      <xdr:rowOff>28575</xdr:rowOff>
    </xdr:to>
    <xdr:sp>
      <xdr:nvSpPr>
        <xdr:cNvPr id="19" name="Line 6"/>
        <xdr:cNvSpPr>
          <a:spLocks/>
        </xdr:cNvSpPr>
      </xdr:nvSpPr>
      <xdr:spPr>
        <a:xfrm flipH="1">
          <a:off x="6657975" y="6076950"/>
          <a:ext cx="314325" cy="2952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7</xdr:row>
      <xdr:rowOff>142875</xdr:rowOff>
    </xdr:from>
    <xdr:to>
      <xdr:col>12</xdr:col>
      <xdr:colOff>323850</xdr:colOff>
      <xdr:row>14</xdr:row>
      <xdr:rowOff>76200</xdr:rowOff>
    </xdr:to>
    <xdr:sp>
      <xdr:nvSpPr>
        <xdr:cNvPr id="20" name="Line 11"/>
        <xdr:cNvSpPr>
          <a:spLocks/>
        </xdr:cNvSpPr>
      </xdr:nvSpPr>
      <xdr:spPr>
        <a:xfrm flipH="1">
          <a:off x="10544175" y="3248025"/>
          <a:ext cx="47625" cy="3400425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447675</xdr:colOff>
      <xdr:row>9</xdr:row>
      <xdr:rowOff>476250</xdr:rowOff>
    </xdr:from>
    <xdr:to>
      <xdr:col>14</xdr:col>
      <xdr:colOff>457200</xdr:colOff>
      <xdr:row>12</xdr:row>
      <xdr:rowOff>76200</xdr:rowOff>
    </xdr:to>
    <xdr:sp>
      <xdr:nvSpPr>
        <xdr:cNvPr id="21" name="Line 11"/>
        <xdr:cNvSpPr>
          <a:spLocks/>
        </xdr:cNvSpPr>
      </xdr:nvSpPr>
      <xdr:spPr>
        <a:xfrm flipH="1">
          <a:off x="12144375" y="4972050"/>
          <a:ext cx="9525" cy="121920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371475</xdr:colOff>
      <xdr:row>7</xdr:row>
      <xdr:rowOff>9525</xdr:rowOff>
    </xdr:from>
    <xdr:to>
      <xdr:col>13</xdr:col>
      <xdr:colOff>409575</xdr:colOff>
      <xdr:row>13</xdr:row>
      <xdr:rowOff>161925</xdr:rowOff>
    </xdr:to>
    <xdr:sp>
      <xdr:nvSpPr>
        <xdr:cNvPr id="22" name="Line 11"/>
        <xdr:cNvSpPr>
          <a:spLocks/>
        </xdr:cNvSpPr>
      </xdr:nvSpPr>
      <xdr:spPr>
        <a:xfrm flipH="1">
          <a:off x="11353800" y="3114675"/>
          <a:ext cx="38100" cy="339090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1</xdr:col>
      <xdr:colOff>9525</xdr:colOff>
      <xdr:row>4</xdr:row>
      <xdr:rowOff>647700</xdr:rowOff>
    </xdr:to>
    <xdr:sp>
      <xdr:nvSpPr>
        <xdr:cNvPr id="23" name="Line 11"/>
        <xdr:cNvSpPr>
          <a:spLocks/>
        </xdr:cNvSpPr>
      </xdr:nvSpPr>
      <xdr:spPr>
        <a:xfrm flipH="1">
          <a:off x="609600" y="428625"/>
          <a:ext cx="9525" cy="12382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504825</xdr:colOff>
      <xdr:row>7</xdr:row>
      <xdr:rowOff>400050</xdr:rowOff>
    </xdr:from>
    <xdr:to>
      <xdr:col>8</xdr:col>
      <xdr:colOff>514350</xdr:colOff>
      <xdr:row>8</xdr:row>
      <xdr:rowOff>276225</xdr:rowOff>
    </xdr:to>
    <xdr:sp>
      <xdr:nvSpPr>
        <xdr:cNvPr id="24" name="Line 6"/>
        <xdr:cNvSpPr>
          <a:spLocks/>
        </xdr:cNvSpPr>
      </xdr:nvSpPr>
      <xdr:spPr>
        <a:xfrm flipH="1" flipV="1">
          <a:off x="7515225" y="3505200"/>
          <a:ext cx="9525" cy="57150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561975</xdr:colOff>
      <xdr:row>11</xdr:row>
      <xdr:rowOff>219075</xdr:rowOff>
    </xdr:from>
    <xdr:to>
      <xdr:col>5</xdr:col>
      <xdr:colOff>66675</xdr:colOff>
      <xdr:row>12</xdr:row>
      <xdr:rowOff>209550</xdr:rowOff>
    </xdr:to>
    <xdr:sp>
      <xdr:nvSpPr>
        <xdr:cNvPr id="25" name="Line 6"/>
        <xdr:cNvSpPr>
          <a:spLocks/>
        </xdr:cNvSpPr>
      </xdr:nvSpPr>
      <xdr:spPr>
        <a:xfrm flipH="1">
          <a:off x="3914775" y="6105525"/>
          <a:ext cx="419100" cy="219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219075</xdr:colOff>
      <xdr:row>7</xdr:row>
      <xdr:rowOff>66675</xdr:rowOff>
    </xdr:from>
    <xdr:to>
      <xdr:col>8</xdr:col>
      <xdr:colOff>876300</xdr:colOff>
      <xdr:row>7</xdr:row>
      <xdr:rowOff>342900</xdr:rowOff>
    </xdr:to>
    <xdr:sp>
      <xdr:nvSpPr>
        <xdr:cNvPr id="26" name="Drawing 6"/>
        <xdr:cNvSpPr>
          <a:spLocks/>
        </xdr:cNvSpPr>
      </xdr:nvSpPr>
      <xdr:spPr>
        <a:xfrm>
          <a:off x="7229475" y="3171825"/>
          <a:ext cx="657225" cy="2762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390525</xdr:colOff>
      <xdr:row>16</xdr:row>
      <xdr:rowOff>95250</xdr:rowOff>
    </xdr:from>
    <xdr:to>
      <xdr:col>17</xdr:col>
      <xdr:colOff>123825</xdr:colOff>
      <xdr:row>24</xdr:row>
      <xdr:rowOff>0</xdr:rowOff>
    </xdr:to>
    <xdr:sp>
      <xdr:nvSpPr>
        <xdr:cNvPr id="27" name="Drawing 8"/>
        <xdr:cNvSpPr>
          <a:spLocks/>
        </xdr:cNvSpPr>
      </xdr:nvSpPr>
      <xdr:spPr>
        <a:xfrm>
          <a:off x="12696825" y="7124700"/>
          <a:ext cx="952500" cy="133350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523875</xdr:colOff>
      <xdr:row>20</xdr:row>
      <xdr:rowOff>123825</xdr:rowOff>
    </xdr:from>
    <xdr:to>
      <xdr:col>14</xdr:col>
      <xdr:colOff>342900</xdr:colOff>
      <xdr:row>28</xdr:row>
      <xdr:rowOff>57150</xdr:rowOff>
    </xdr:to>
    <xdr:sp>
      <xdr:nvSpPr>
        <xdr:cNvPr id="28" name="Drawing 6"/>
        <xdr:cNvSpPr>
          <a:spLocks/>
        </xdr:cNvSpPr>
      </xdr:nvSpPr>
      <xdr:spPr>
        <a:xfrm>
          <a:off x="11506200" y="7934325"/>
          <a:ext cx="533400" cy="12287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8</xdr:row>
      <xdr:rowOff>38100</xdr:rowOff>
    </xdr:from>
    <xdr:to>
      <xdr:col>13</xdr:col>
      <xdr:colOff>485775</xdr:colOff>
      <xdr:row>12</xdr:row>
      <xdr:rowOff>209550</xdr:rowOff>
    </xdr:to>
    <xdr:sp>
      <xdr:nvSpPr>
        <xdr:cNvPr id="29" name="Line 11"/>
        <xdr:cNvSpPr>
          <a:spLocks/>
        </xdr:cNvSpPr>
      </xdr:nvSpPr>
      <xdr:spPr>
        <a:xfrm flipH="1">
          <a:off x="11420475" y="3838575"/>
          <a:ext cx="47625" cy="2486025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6</xdr:row>
      <xdr:rowOff>571500</xdr:rowOff>
    </xdr:from>
    <xdr:to>
      <xdr:col>4</xdr:col>
      <xdr:colOff>781050</xdr:colOff>
      <xdr:row>7</xdr:row>
      <xdr:rowOff>419100</xdr:rowOff>
    </xdr:to>
    <xdr:sp>
      <xdr:nvSpPr>
        <xdr:cNvPr id="30" name="Drawing 6"/>
        <xdr:cNvSpPr>
          <a:spLocks/>
        </xdr:cNvSpPr>
      </xdr:nvSpPr>
      <xdr:spPr>
        <a:xfrm>
          <a:off x="3581400" y="2981325"/>
          <a:ext cx="552450" cy="5429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9</xdr:row>
      <xdr:rowOff>276225</xdr:rowOff>
    </xdr:from>
    <xdr:to>
      <xdr:col>2</xdr:col>
      <xdr:colOff>466725</xdr:colOff>
      <xdr:row>10</xdr:row>
      <xdr:rowOff>180975</xdr:rowOff>
    </xdr:to>
    <xdr:sp>
      <xdr:nvSpPr>
        <xdr:cNvPr id="31" name="Line 6"/>
        <xdr:cNvSpPr>
          <a:spLocks/>
        </xdr:cNvSpPr>
      </xdr:nvSpPr>
      <xdr:spPr>
        <a:xfrm flipV="1">
          <a:off x="1981200" y="4772025"/>
          <a:ext cx="9525" cy="60007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4</xdr:row>
      <xdr:rowOff>133350</xdr:rowOff>
    </xdr:from>
    <xdr:to>
      <xdr:col>9</xdr:col>
      <xdr:colOff>533400</xdr:colOff>
      <xdr:row>5</xdr:row>
      <xdr:rowOff>628650</xdr:rowOff>
    </xdr:to>
    <xdr:sp>
      <xdr:nvSpPr>
        <xdr:cNvPr id="1" name="Drawing 5"/>
        <xdr:cNvSpPr>
          <a:spLocks/>
        </xdr:cNvSpPr>
      </xdr:nvSpPr>
      <xdr:spPr>
        <a:xfrm>
          <a:off x="6629400" y="1085850"/>
          <a:ext cx="1828800" cy="17621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6</xdr:row>
      <xdr:rowOff>209550</xdr:rowOff>
    </xdr:from>
    <xdr:to>
      <xdr:col>3</xdr:col>
      <xdr:colOff>438150</xdr:colOff>
      <xdr:row>6</xdr:row>
      <xdr:rowOff>685800</xdr:rowOff>
    </xdr:to>
    <xdr:sp>
      <xdr:nvSpPr>
        <xdr:cNvPr id="2" name="Drawing 6"/>
        <xdr:cNvSpPr>
          <a:spLocks/>
        </xdr:cNvSpPr>
      </xdr:nvSpPr>
      <xdr:spPr>
        <a:xfrm>
          <a:off x="2076450" y="3695700"/>
          <a:ext cx="800100" cy="47625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723900</xdr:colOff>
      <xdr:row>4</xdr:row>
      <xdr:rowOff>1047750</xdr:rowOff>
    </xdr:from>
    <xdr:to>
      <xdr:col>7</xdr:col>
      <xdr:colOff>152400</xdr:colOff>
      <xdr:row>5</xdr:row>
      <xdr:rowOff>819150</xdr:rowOff>
    </xdr:to>
    <xdr:sp>
      <xdr:nvSpPr>
        <xdr:cNvPr id="3" name="Drawing 7"/>
        <xdr:cNvSpPr>
          <a:spLocks/>
        </xdr:cNvSpPr>
      </xdr:nvSpPr>
      <xdr:spPr>
        <a:xfrm>
          <a:off x="4991100" y="2000250"/>
          <a:ext cx="1257300" cy="1038225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114300</xdr:colOff>
      <xdr:row>5</xdr:row>
      <xdr:rowOff>495300</xdr:rowOff>
    </xdr:from>
    <xdr:to>
      <xdr:col>5</xdr:col>
      <xdr:colOff>152400</xdr:colOff>
      <xdr:row>5</xdr:row>
      <xdr:rowOff>1238250</xdr:rowOff>
    </xdr:to>
    <xdr:sp>
      <xdr:nvSpPr>
        <xdr:cNvPr id="4" name="Drawing 8"/>
        <xdr:cNvSpPr>
          <a:spLocks/>
        </xdr:cNvSpPr>
      </xdr:nvSpPr>
      <xdr:spPr>
        <a:xfrm>
          <a:off x="3467100" y="2714625"/>
          <a:ext cx="952500" cy="742950"/>
        </a:xfrm>
        <a:custGeom>
          <a:pathLst>
            <a:path h="16384" w="16384">
              <a:moveTo>
                <a:pt x="5508" y="16174"/>
              </a:moveTo>
              <a:lnTo>
                <a:pt x="14548" y="16174"/>
              </a:lnTo>
              <a:lnTo>
                <a:pt x="14972" y="16384"/>
              </a:lnTo>
              <a:lnTo>
                <a:pt x="15819" y="16384"/>
              </a:lnTo>
              <a:lnTo>
                <a:pt x="16243" y="16174"/>
              </a:lnTo>
              <a:lnTo>
                <a:pt x="16384" y="15544"/>
              </a:lnTo>
              <a:lnTo>
                <a:pt x="16384" y="12813"/>
              </a:lnTo>
              <a:lnTo>
                <a:pt x="16102" y="12183"/>
              </a:lnTo>
              <a:lnTo>
                <a:pt x="15678" y="11973"/>
              </a:lnTo>
              <a:lnTo>
                <a:pt x="15254" y="11343"/>
              </a:lnTo>
              <a:lnTo>
                <a:pt x="14972" y="10082"/>
              </a:lnTo>
              <a:lnTo>
                <a:pt x="14972" y="8822"/>
              </a:lnTo>
              <a:lnTo>
                <a:pt x="14689" y="7562"/>
              </a:lnTo>
              <a:lnTo>
                <a:pt x="14407" y="6932"/>
              </a:lnTo>
              <a:lnTo>
                <a:pt x="13559" y="6512"/>
              </a:lnTo>
              <a:lnTo>
                <a:pt x="13135" y="6512"/>
              </a:lnTo>
              <a:lnTo>
                <a:pt x="12994" y="7142"/>
              </a:lnTo>
              <a:lnTo>
                <a:pt x="12712" y="6512"/>
              </a:lnTo>
              <a:lnTo>
                <a:pt x="12712" y="4621"/>
              </a:lnTo>
              <a:lnTo>
                <a:pt x="12570" y="3991"/>
              </a:lnTo>
              <a:lnTo>
                <a:pt x="12570" y="3361"/>
              </a:lnTo>
              <a:lnTo>
                <a:pt x="12288" y="2731"/>
              </a:lnTo>
              <a:lnTo>
                <a:pt x="11864" y="2101"/>
              </a:lnTo>
              <a:lnTo>
                <a:pt x="11441" y="1680"/>
              </a:lnTo>
              <a:lnTo>
                <a:pt x="10593" y="1260"/>
              </a:lnTo>
              <a:lnTo>
                <a:pt x="9322" y="1260"/>
              </a:lnTo>
              <a:lnTo>
                <a:pt x="8898" y="1890"/>
              </a:lnTo>
              <a:lnTo>
                <a:pt x="8474" y="3781"/>
              </a:lnTo>
              <a:lnTo>
                <a:pt x="8333" y="3151"/>
              </a:lnTo>
              <a:lnTo>
                <a:pt x="8333" y="2521"/>
              </a:lnTo>
              <a:lnTo>
                <a:pt x="8051" y="1260"/>
              </a:lnTo>
              <a:lnTo>
                <a:pt x="7627" y="630"/>
              </a:lnTo>
              <a:lnTo>
                <a:pt x="7203" y="210"/>
              </a:lnTo>
              <a:lnTo>
                <a:pt x="6780" y="0"/>
              </a:lnTo>
              <a:lnTo>
                <a:pt x="5508" y="0"/>
              </a:lnTo>
              <a:lnTo>
                <a:pt x="5226" y="630"/>
              </a:lnTo>
              <a:lnTo>
                <a:pt x="4661" y="3151"/>
              </a:lnTo>
              <a:lnTo>
                <a:pt x="4378" y="3781"/>
              </a:lnTo>
              <a:lnTo>
                <a:pt x="3955" y="3991"/>
              </a:lnTo>
              <a:lnTo>
                <a:pt x="3531" y="3781"/>
              </a:lnTo>
              <a:lnTo>
                <a:pt x="3107" y="3781"/>
              </a:lnTo>
              <a:lnTo>
                <a:pt x="2684" y="4201"/>
              </a:lnTo>
              <a:lnTo>
                <a:pt x="2684" y="4831"/>
              </a:lnTo>
              <a:lnTo>
                <a:pt x="2260" y="6722"/>
              </a:lnTo>
              <a:lnTo>
                <a:pt x="2260" y="9452"/>
              </a:lnTo>
              <a:lnTo>
                <a:pt x="1836" y="9032"/>
              </a:lnTo>
              <a:lnTo>
                <a:pt x="989" y="9032"/>
              </a:lnTo>
              <a:lnTo>
                <a:pt x="424" y="10293"/>
              </a:lnTo>
              <a:lnTo>
                <a:pt x="424" y="11553"/>
              </a:lnTo>
              <a:lnTo>
                <a:pt x="282" y="12183"/>
              </a:lnTo>
              <a:lnTo>
                <a:pt x="282" y="12813"/>
              </a:lnTo>
              <a:lnTo>
                <a:pt x="141" y="13443"/>
              </a:lnTo>
              <a:lnTo>
                <a:pt x="141" y="14704"/>
              </a:lnTo>
              <a:lnTo>
                <a:pt x="0" y="15334"/>
              </a:lnTo>
              <a:lnTo>
                <a:pt x="0" y="15964"/>
              </a:lnTo>
              <a:lnTo>
                <a:pt x="424" y="15964"/>
              </a:lnTo>
              <a:lnTo>
                <a:pt x="847" y="15754"/>
              </a:lnTo>
              <a:lnTo>
                <a:pt x="1695" y="15754"/>
              </a:lnTo>
              <a:lnTo>
                <a:pt x="2119" y="16174"/>
              </a:lnTo>
              <a:lnTo>
                <a:pt x="3390" y="16174"/>
              </a:lnTo>
              <a:lnTo>
                <a:pt x="3814" y="16384"/>
              </a:lnTo>
              <a:lnTo>
                <a:pt x="4661" y="16384"/>
              </a:lnTo>
              <a:lnTo>
                <a:pt x="5508" y="16174"/>
              </a:lnTo>
            </a:path>
          </a:pathLst>
        </a:cu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495300</xdr:colOff>
      <xdr:row>6</xdr:row>
      <xdr:rowOff>95250</xdr:rowOff>
    </xdr:from>
    <xdr:to>
      <xdr:col>4</xdr:col>
      <xdr:colOff>495300</xdr:colOff>
      <xdr:row>6</xdr:row>
      <xdr:rowOff>990600</xdr:rowOff>
    </xdr:to>
    <xdr:sp>
      <xdr:nvSpPr>
        <xdr:cNvPr id="5" name="Line 5"/>
        <xdr:cNvSpPr>
          <a:spLocks/>
        </xdr:cNvSpPr>
      </xdr:nvSpPr>
      <xdr:spPr>
        <a:xfrm flipH="1" flipV="1">
          <a:off x="3848100" y="3581400"/>
          <a:ext cx="0" cy="89535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438150</xdr:colOff>
      <xdr:row>5</xdr:row>
      <xdr:rowOff>914400</xdr:rowOff>
    </xdr:from>
    <xdr:to>
      <xdr:col>6</xdr:col>
      <xdr:colOff>438150</xdr:colOff>
      <xdr:row>6</xdr:row>
      <xdr:rowOff>533400</xdr:rowOff>
    </xdr:to>
    <xdr:sp>
      <xdr:nvSpPr>
        <xdr:cNvPr id="6" name="Line 6"/>
        <xdr:cNvSpPr>
          <a:spLocks/>
        </xdr:cNvSpPr>
      </xdr:nvSpPr>
      <xdr:spPr>
        <a:xfrm flipH="1" flipV="1">
          <a:off x="5619750" y="3133725"/>
          <a:ext cx="0" cy="8858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247650</xdr:colOff>
      <xdr:row>6</xdr:row>
      <xdr:rowOff>971550</xdr:rowOff>
    </xdr:from>
    <xdr:to>
      <xdr:col>5</xdr:col>
      <xdr:colOff>276225</xdr:colOff>
      <xdr:row>6</xdr:row>
      <xdr:rowOff>1190625</xdr:rowOff>
    </xdr:to>
    <xdr:sp>
      <xdr:nvSpPr>
        <xdr:cNvPr id="7" name="Text 19"/>
        <xdr:cNvSpPr txBox="1">
          <a:spLocks noChangeArrowheads="1"/>
        </xdr:cNvSpPr>
      </xdr:nvSpPr>
      <xdr:spPr>
        <a:xfrm>
          <a:off x="3600450" y="4457700"/>
          <a:ext cx="9429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+ 1 a 2 m/s</a:t>
          </a:r>
        </a:p>
      </xdr:txBody>
    </xdr:sp>
    <xdr:clientData/>
  </xdr:twoCellAnchor>
  <xdr:twoCellAnchor>
    <xdr:from>
      <xdr:col>6</xdr:col>
      <xdr:colOff>247650</xdr:colOff>
      <xdr:row>6</xdr:row>
      <xdr:rowOff>533400</xdr:rowOff>
    </xdr:from>
    <xdr:to>
      <xdr:col>7</xdr:col>
      <xdr:colOff>152400</xdr:colOff>
      <xdr:row>6</xdr:row>
      <xdr:rowOff>742950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429250" y="4019550"/>
          <a:ext cx="8191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+ 2 a 3 m/s</a:t>
          </a:r>
        </a:p>
      </xdr:txBody>
    </xdr:sp>
    <xdr:clientData/>
  </xdr:twoCellAnchor>
  <xdr:twoCellAnchor>
    <xdr:from>
      <xdr:col>2</xdr:col>
      <xdr:colOff>685800</xdr:colOff>
      <xdr:row>7</xdr:row>
      <xdr:rowOff>323850</xdr:rowOff>
    </xdr:from>
    <xdr:to>
      <xdr:col>3</xdr:col>
      <xdr:colOff>390525</xdr:colOff>
      <xdr:row>7</xdr:row>
      <xdr:rowOff>552450</xdr:rowOff>
    </xdr:to>
    <xdr:sp>
      <xdr:nvSpPr>
        <xdr:cNvPr id="9" name="Text 26"/>
        <xdr:cNvSpPr txBox="1">
          <a:spLocks noChangeArrowheads="1"/>
        </xdr:cNvSpPr>
      </xdr:nvSpPr>
      <xdr:spPr>
        <a:xfrm>
          <a:off x="2209800" y="507682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+ 1 m/s</a:t>
          </a:r>
        </a:p>
      </xdr:txBody>
    </xdr:sp>
    <xdr:clientData/>
  </xdr:twoCellAnchor>
  <xdr:twoCellAnchor>
    <xdr:from>
      <xdr:col>3</xdr:col>
      <xdr:colOff>95250</xdr:colOff>
      <xdr:row>6</xdr:row>
      <xdr:rowOff>666750</xdr:rowOff>
    </xdr:from>
    <xdr:to>
      <xdr:col>3</xdr:col>
      <xdr:colOff>95250</xdr:colOff>
      <xdr:row>7</xdr:row>
      <xdr:rowOff>285750</xdr:rowOff>
    </xdr:to>
    <xdr:sp>
      <xdr:nvSpPr>
        <xdr:cNvPr id="10" name="Line 10"/>
        <xdr:cNvSpPr>
          <a:spLocks/>
        </xdr:cNvSpPr>
      </xdr:nvSpPr>
      <xdr:spPr>
        <a:xfrm flipH="1" flipV="1">
          <a:off x="2533650" y="4152900"/>
          <a:ext cx="0" cy="885825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342900</xdr:colOff>
      <xdr:row>5</xdr:row>
      <xdr:rowOff>685800</xdr:rowOff>
    </xdr:from>
    <xdr:to>
      <xdr:col>9</xdr:col>
      <xdr:colOff>342900</xdr:colOff>
      <xdr:row>6</xdr:row>
      <xdr:rowOff>466725</xdr:rowOff>
    </xdr:to>
    <xdr:sp>
      <xdr:nvSpPr>
        <xdr:cNvPr id="11" name="Line 11"/>
        <xdr:cNvSpPr>
          <a:spLocks/>
        </xdr:cNvSpPr>
      </xdr:nvSpPr>
      <xdr:spPr>
        <a:xfrm>
          <a:off x="8267700" y="2905125"/>
          <a:ext cx="0" cy="10477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666750</xdr:rowOff>
    </xdr:from>
    <xdr:to>
      <xdr:col>8</xdr:col>
      <xdr:colOff>304800</xdr:colOff>
      <xdr:row>7</xdr:row>
      <xdr:rowOff>1085850</xdr:rowOff>
    </xdr:to>
    <xdr:sp>
      <xdr:nvSpPr>
        <xdr:cNvPr id="12" name="Line 12"/>
        <xdr:cNvSpPr>
          <a:spLocks/>
        </xdr:cNvSpPr>
      </xdr:nvSpPr>
      <xdr:spPr>
        <a:xfrm>
          <a:off x="7315200" y="2886075"/>
          <a:ext cx="0" cy="29527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723900</xdr:colOff>
      <xdr:row>6</xdr:row>
      <xdr:rowOff>485775</xdr:rowOff>
    </xdr:from>
    <xdr:to>
      <xdr:col>3</xdr:col>
      <xdr:colOff>266700</xdr:colOff>
      <xdr:row>6</xdr:row>
      <xdr:rowOff>723900</xdr:rowOff>
    </xdr:to>
    <xdr:sp>
      <xdr:nvSpPr>
        <xdr:cNvPr id="13" name="Text Box 13"/>
        <xdr:cNvSpPr txBox="1">
          <a:spLocks noChangeArrowheads="1"/>
        </xdr:cNvSpPr>
      </xdr:nvSpPr>
      <xdr:spPr>
        <a:xfrm>
          <a:off x="2247900" y="3971925"/>
          <a:ext cx="4572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1/8</a:t>
          </a:r>
        </a:p>
      </xdr:txBody>
    </xdr:sp>
    <xdr:clientData/>
  </xdr:twoCellAnchor>
  <xdr:twoCellAnchor>
    <xdr:from>
      <xdr:col>7</xdr:col>
      <xdr:colOff>876300</xdr:colOff>
      <xdr:row>6</xdr:row>
      <xdr:rowOff>314325</xdr:rowOff>
    </xdr:from>
    <xdr:to>
      <xdr:col>8</xdr:col>
      <xdr:colOff>800100</xdr:colOff>
      <xdr:row>6</xdr:row>
      <xdr:rowOff>533400</xdr:rowOff>
    </xdr:to>
    <xdr:sp>
      <xdr:nvSpPr>
        <xdr:cNvPr id="14" name="Text Box 14"/>
        <xdr:cNvSpPr txBox="1">
          <a:spLocks noChangeArrowheads="1"/>
        </xdr:cNvSpPr>
      </xdr:nvSpPr>
      <xdr:spPr>
        <a:xfrm>
          <a:off x="6972300" y="3800475"/>
          <a:ext cx="83820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+2 a 3 m/s</a:t>
          </a:r>
        </a:p>
      </xdr:txBody>
    </xdr:sp>
    <xdr:clientData/>
  </xdr:twoCellAnchor>
  <xdr:twoCellAnchor>
    <xdr:from>
      <xdr:col>9</xdr:col>
      <xdr:colOff>219075</xdr:colOff>
      <xdr:row>5</xdr:row>
      <xdr:rowOff>561975</xdr:rowOff>
    </xdr:from>
    <xdr:to>
      <xdr:col>9</xdr:col>
      <xdr:colOff>219075</xdr:colOff>
      <xdr:row>7</xdr:row>
      <xdr:rowOff>981075</xdr:rowOff>
    </xdr:to>
    <xdr:sp>
      <xdr:nvSpPr>
        <xdr:cNvPr id="15" name="Line 15"/>
        <xdr:cNvSpPr>
          <a:spLocks/>
        </xdr:cNvSpPr>
      </xdr:nvSpPr>
      <xdr:spPr>
        <a:xfrm>
          <a:off x="8143875" y="2781300"/>
          <a:ext cx="0" cy="29527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161925</xdr:colOff>
      <xdr:row>5</xdr:row>
      <xdr:rowOff>628650</xdr:rowOff>
    </xdr:from>
    <xdr:to>
      <xdr:col>9</xdr:col>
      <xdr:colOff>161925</xdr:colOff>
      <xdr:row>7</xdr:row>
      <xdr:rowOff>1047750</xdr:rowOff>
    </xdr:to>
    <xdr:sp>
      <xdr:nvSpPr>
        <xdr:cNvPr id="16" name="Line 16"/>
        <xdr:cNvSpPr>
          <a:spLocks/>
        </xdr:cNvSpPr>
      </xdr:nvSpPr>
      <xdr:spPr>
        <a:xfrm>
          <a:off x="8086725" y="2847975"/>
          <a:ext cx="0" cy="29527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85725</xdr:colOff>
      <xdr:row>5</xdr:row>
      <xdr:rowOff>571500</xdr:rowOff>
    </xdr:from>
    <xdr:to>
      <xdr:col>9</xdr:col>
      <xdr:colOff>85725</xdr:colOff>
      <xdr:row>7</xdr:row>
      <xdr:rowOff>990600</xdr:rowOff>
    </xdr:to>
    <xdr:sp>
      <xdr:nvSpPr>
        <xdr:cNvPr id="17" name="Line 17"/>
        <xdr:cNvSpPr>
          <a:spLocks/>
        </xdr:cNvSpPr>
      </xdr:nvSpPr>
      <xdr:spPr>
        <a:xfrm>
          <a:off x="8010525" y="2790825"/>
          <a:ext cx="0" cy="2952750"/>
        </a:xfrm>
        <a:prstGeom prst="line">
          <a:avLst/>
        </a:prstGeom>
        <a:noFill/>
        <a:ln w="1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342900</xdr:colOff>
      <xdr:row>5</xdr:row>
      <xdr:rowOff>1019175</xdr:rowOff>
    </xdr:from>
    <xdr:to>
      <xdr:col>4</xdr:col>
      <xdr:colOff>809625</xdr:colOff>
      <xdr:row>5</xdr:row>
      <xdr:rowOff>1257300</xdr:rowOff>
    </xdr:to>
    <xdr:sp>
      <xdr:nvSpPr>
        <xdr:cNvPr id="18" name="Text Box 18"/>
        <xdr:cNvSpPr txBox="1">
          <a:spLocks noChangeArrowheads="1"/>
        </xdr:cNvSpPr>
      </xdr:nvSpPr>
      <xdr:spPr>
        <a:xfrm>
          <a:off x="3695700" y="3238500"/>
          <a:ext cx="466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2/8</a:t>
          </a:r>
        </a:p>
      </xdr:txBody>
    </xdr:sp>
    <xdr:clientData/>
  </xdr:twoCellAnchor>
  <xdr:twoCellAnchor>
    <xdr:from>
      <xdr:col>6</xdr:col>
      <xdr:colOff>200025</xdr:colOff>
      <xdr:row>5</xdr:row>
      <xdr:rowOff>476250</xdr:rowOff>
    </xdr:from>
    <xdr:to>
      <xdr:col>6</xdr:col>
      <xdr:colOff>666750</xdr:colOff>
      <xdr:row>5</xdr:row>
      <xdr:rowOff>714375</xdr:rowOff>
    </xdr:to>
    <xdr:sp>
      <xdr:nvSpPr>
        <xdr:cNvPr id="19" name="Text Box 19"/>
        <xdr:cNvSpPr txBox="1">
          <a:spLocks noChangeArrowheads="1"/>
        </xdr:cNvSpPr>
      </xdr:nvSpPr>
      <xdr:spPr>
        <a:xfrm>
          <a:off x="5381625" y="2695575"/>
          <a:ext cx="466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5/8</a:t>
          </a:r>
        </a:p>
      </xdr:txBody>
    </xdr:sp>
    <xdr:clientData/>
  </xdr:twoCellAnchor>
  <xdr:twoCellAnchor>
    <xdr:from>
      <xdr:col>8</xdr:col>
      <xdr:colOff>171450</xdr:colOff>
      <xdr:row>5</xdr:row>
      <xdr:rowOff>209550</xdr:rowOff>
    </xdr:from>
    <xdr:to>
      <xdr:col>8</xdr:col>
      <xdr:colOff>638175</xdr:colOff>
      <xdr:row>5</xdr:row>
      <xdr:rowOff>447675</xdr:rowOff>
    </xdr:to>
    <xdr:sp>
      <xdr:nvSpPr>
        <xdr:cNvPr id="20" name="Text Box 20"/>
        <xdr:cNvSpPr txBox="1">
          <a:spLocks noChangeArrowheads="1"/>
        </xdr:cNvSpPr>
      </xdr:nvSpPr>
      <xdr:spPr>
        <a:xfrm>
          <a:off x="7181850" y="2428875"/>
          <a:ext cx="4667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6/8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8">
      <selection activeCell="A40" sqref="A40:F43"/>
    </sheetView>
  </sheetViews>
  <sheetFormatPr defaultColWidth="9.140625" defaultRowHeight="12.75"/>
  <sheetData>
    <row r="2" spans="1:10" ht="12.75">
      <c r="A2" s="10" t="s">
        <v>136</v>
      </c>
      <c r="B2" s="10"/>
      <c r="C2" s="10"/>
      <c r="D2" s="10"/>
      <c r="E2" s="10"/>
      <c r="F2" s="10"/>
      <c r="G2" s="10"/>
      <c r="H2" s="10"/>
      <c r="I2" s="10"/>
      <c r="J2" s="10"/>
    </row>
    <row r="3" spans="1:10" ht="12.75">
      <c r="A3" s="10" t="s">
        <v>135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ht="12.75">
      <c r="A4" s="10" t="s">
        <v>137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ht="12.75">
      <c r="A5" s="10" t="s">
        <v>138</v>
      </c>
      <c r="B5" s="10"/>
      <c r="C5" s="10"/>
      <c r="D5" s="10"/>
      <c r="E5" s="10"/>
      <c r="F5" s="10"/>
      <c r="G5" s="10"/>
      <c r="H5" s="10"/>
      <c r="I5" s="10"/>
      <c r="J5" s="10"/>
    </row>
    <row r="6" spans="1:10" ht="12.75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0" ht="12.75">
      <c r="A7" s="10" t="s">
        <v>41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12.75">
      <c r="A8" s="10" t="s">
        <v>38</v>
      </c>
      <c r="B8" s="10"/>
      <c r="C8" s="10"/>
      <c r="D8" s="10"/>
      <c r="E8" s="10"/>
      <c r="F8" s="10"/>
      <c r="G8" s="10"/>
      <c r="H8" s="10"/>
      <c r="I8" s="10"/>
      <c r="J8" s="10"/>
    </row>
    <row r="9" spans="1:10" ht="12.75">
      <c r="A9" s="10" t="s">
        <v>40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2.75">
      <c r="A10" s="10" t="s">
        <v>39</v>
      </c>
      <c r="B10" s="10"/>
      <c r="C10" s="10"/>
      <c r="D10" s="10"/>
      <c r="E10" s="10"/>
      <c r="F10" s="10"/>
      <c r="G10" s="10"/>
      <c r="H10" s="10"/>
      <c r="I10" s="10"/>
      <c r="J10" s="10"/>
    </row>
    <row r="11" spans="1:10" ht="12.75">
      <c r="A11" s="143" t="s">
        <v>161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10" t="s">
        <v>160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2.75">
      <c r="A13" s="10"/>
      <c r="B13" s="10"/>
      <c r="C13" s="10"/>
      <c r="D13" s="10"/>
      <c r="E13" s="10"/>
      <c r="F13" s="10"/>
      <c r="G13" s="10"/>
      <c r="H13" s="10"/>
      <c r="I13" s="10"/>
      <c r="J13" s="10"/>
    </row>
    <row r="14" spans="1:11" ht="12.75">
      <c r="A14" s="10" t="s">
        <v>46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</row>
    <row r="15" spans="1:11" ht="12.75">
      <c r="A15" s="10" t="s">
        <v>45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</row>
    <row r="16" spans="1:11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</row>
    <row r="17" spans="1:11" ht="12.75">
      <c r="A17" s="10" t="s">
        <v>44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</row>
    <row r="18" spans="1:11" ht="12.75">
      <c r="A18" s="10" t="s">
        <v>169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</row>
    <row r="19" spans="1:11" ht="12.75">
      <c r="A19" s="10" t="s">
        <v>170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</row>
    <row r="20" spans="1:10" ht="12.75">
      <c r="A20" s="10" t="s">
        <v>37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2.75">
      <c r="A21" s="10" t="s">
        <v>47</v>
      </c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2.75">
      <c r="A22" s="10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2.75">
      <c r="A23" s="10" t="s">
        <v>48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0" ht="12.75">
      <c r="A24" s="10" t="s">
        <v>49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2.75">
      <c r="A25" s="10" t="s">
        <v>50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0" ht="12.75">
      <c r="A26" s="10" t="s">
        <v>51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0" ht="12.75">
      <c r="A27" s="10" t="s">
        <v>73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0" ht="12.75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0" ht="12.75">
      <c r="A29" s="10" t="s">
        <v>55</v>
      </c>
      <c r="B29" s="10"/>
      <c r="C29" s="10"/>
      <c r="D29" s="10"/>
      <c r="E29" s="10"/>
      <c r="F29" s="10"/>
      <c r="G29" s="10"/>
      <c r="H29" s="10"/>
      <c r="I29" s="10"/>
      <c r="J29" s="10"/>
    </row>
    <row r="30" spans="1:10" ht="12.75">
      <c r="A30" s="10" t="s">
        <v>56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 ht="12.75">
      <c r="A31" s="10" t="s">
        <v>58</v>
      </c>
      <c r="B31" s="10"/>
      <c r="C31" s="10"/>
      <c r="D31" s="10"/>
      <c r="E31" s="10"/>
      <c r="F31" s="10"/>
      <c r="G31" s="10"/>
      <c r="H31" s="10"/>
      <c r="I31" s="10"/>
      <c r="J31" s="10"/>
    </row>
    <row r="32" spans="1:10" ht="12.75">
      <c r="A32" s="10" t="s">
        <v>57</v>
      </c>
      <c r="B32" s="10"/>
      <c r="C32" s="10"/>
      <c r="D32" s="10"/>
      <c r="E32" s="10"/>
      <c r="F32" s="10"/>
      <c r="G32" s="10"/>
      <c r="H32" s="10"/>
      <c r="I32" s="10"/>
      <c r="J32" s="10"/>
    </row>
    <row r="33" spans="1:10" ht="12.75">
      <c r="A33" s="10" t="s">
        <v>59</v>
      </c>
      <c r="B33" s="10"/>
      <c r="C33" s="10"/>
      <c r="D33" s="10"/>
      <c r="E33" s="10"/>
      <c r="F33" s="10"/>
      <c r="G33" s="10"/>
      <c r="H33" s="10"/>
      <c r="I33" s="10"/>
      <c r="J33" s="10"/>
    </row>
    <row r="34" spans="1:8" ht="12.75">
      <c r="A34" s="10" t="s">
        <v>71</v>
      </c>
      <c r="B34" s="10"/>
      <c r="C34" s="10"/>
      <c r="D34" s="10"/>
      <c r="E34" s="10"/>
      <c r="F34" s="10"/>
      <c r="G34" s="10"/>
      <c r="H34" s="10"/>
    </row>
    <row r="35" spans="1:10" ht="12.75">
      <c r="A35" s="10" t="s">
        <v>52</v>
      </c>
      <c r="B35" s="10"/>
      <c r="C35" s="10"/>
      <c r="D35" s="10"/>
      <c r="E35" s="10"/>
      <c r="F35" s="10"/>
      <c r="G35" s="10"/>
      <c r="H35" s="10"/>
      <c r="I35" s="10"/>
      <c r="J35" s="10"/>
    </row>
    <row r="36" spans="1:10" ht="12.75">
      <c r="A36" s="10" t="s">
        <v>53</v>
      </c>
      <c r="B36" s="10"/>
      <c r="C36" s="10"/>
      <c r="D36" s="10"/>
      <c r="E36" s="10"/>
      <c r="F36" s="10"/>
      <c r="G36" s="10"/>
      <c r="H36" s="10"/>
      <c r="I36" s="10"/>
      <c r="J36" s="10"/>
    </row>
    <row r="37" spans="1:10" ht="12.75">
      <c r="A37" s="10" t="s">
        <v>54</v>
      </c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10" t="s">
        <v>72</v>
      </c>
      <c r="B38" s="10"/>
      <c r="C38" s="10"/>
      <c r="D38" s="10"/>
      <c r="E38" s="10"/>
      <c r="F38" s="10"/>
      <c r="G38" s="10"/>
      <c r="H38" s="10"/>
      <c r="I38" s="10"/>
      <c r="J38" s="10"/>
    </row>
    <row r="39" spans="1:10" ht="12.75">
      <c r="A39" s="10"/>
      <c r="B39" s="10"/>
      <c r="C39" s="10"/>
      <c r="D39" s="10"/>
      <c r="E39" s="10"/>
      <c r="F39" s="10"/>
      <c r="G39" s="10"/>
      <c r="H39" s="10"/>
      <c r="I39" s="10"/>
      <c r="J39" s="10"/>
    </row>
    <row r="40" spans="1:10" ht="12.75">
      <c r="A40" s="10" t="s">
        <v>164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ht="12.75">
      <c r="A41" s="10" t="s">
        <v>168</v>
      </c>
      <c r="B41" s="10"/>
      <c r="C41" s="10"/>
      <c r="D41" s="10"/>
      <c r="E41" s="10"/>
      <c r="F41" s="10"/>
      <c r="G41" s="10"/>
      <c r="H41" s="10"/>
      <c r="I41" s="10"/>
      <c r="J41" s="10"/>
    </row>
    <row r="42" spans="1:10" ht="12.75">
      <c r="A42" s="10" t="s">
        <v>162</v>
      </c>
      <c r="B42" s="10"/>
      <c r="C42" s="10"/>
      <c r="D42" s="10"/>
      <c r="E42" s="10"/>
      <c r="F42" s="10"/>
      <c r="G42" s="10"/>
      <c r="H42" s="10"/>
      <c r="I42" s="10"/>
      <c r="J42" s="10"/>
    </row>
    <row r="43" ht="12.75">
      <c r="A43" s="10" t="s">
        <v>163</v>
      </c>
    </row>
    <row r="45" ht="12.75">
      <c r="A45" s="10" t="s">
        <v>166</v>
      </c>
    </row>
    <row r="46" ht="12.75">
      <c r="A46" s="10" t="s">
        <v>167</v>
      </c>
    </row>
    <row r="47" ht="12.75">
      <c r="A47" s="10"/>
    </row>
    <row r="48" spans="1:9" ht="12.75">
      <c r="A48" s="10" t="s">
        <v>165</v>
      </c>
      <c r="H48" s="100"/>
      <c r="I48" s="100"/>
    </row>
    <row r="49" spans="3:9" ht="12.75">
      <c r="C49" s="101"/>
      <c r="D49" s="100"/>
      <c r="E49" s="100"/>
      <c r="F49" s="100"/>
      <c r="G49" s="100"/>
      <c r="H49" s="100"/>
      <c r="I49" s="100"/>
    </row>
    <row r="50" spans="3:9" ht="12.75">
      <c r="C50" s="101" t="s">
        <v>108</v>
      </c>
      <c r="D50" s="100"/>
      <c r="E50" s="100"/>
      <c r="F50" s="100"/>
      <c r="G50" s="100"/>
      <c r="H50" s="100"/>
      <c r="I50" s="100"/>
    </row>
    <row r="51" spans="3:9" ht="12.75">
      <c r="C51" s="101" t="s">
        <v>109</v>
      </c>
      <c r="D51" s="100"/>
      <c r="E51" s="100"/>
      <c r="F51" s="100"/>
      <c r="G51" s="100"/>
      <c r="H51" s="100"/>
      <c r="I51" s="100"/>
    </row>
    <row r="52" spans="3:7" ht="12.75">
      <c r="C52" s="101" t="s">
        <v>110</v>
      </c>
      <c r="D52" s="100"/>
      <c r="E52" s="100"/>
      <c r="F52" s="100"/>
      <c r="G52" s="100"/>
    </row>
  </sheetData>
  <sheetProtection/>
  <printOptions/>
  <pageMargins left="0.787401575" right="0.787401575" top="0.984251969" bottom="0.984251969" header="0.492125985" footer="0.49212598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C54"/>
  <sheetViews>
    <sheetView zoomScale="75" zoomScaleNormal="75" zoomScalePageLayoutView="0" workbookViewId="0" topLeftCell="A1">
      <selection activeCell="E27" sqref="E27"/>
    </sheetView>
  </sheetViews>
  <sheetFormatPr defaultColWidth="9.140625" defaultRowHeight="12.75"/>
  <cols>
    <col min="1" max="1" width="8.8515625" style="0" customWidth="1"/>
    <col min="2" max="2" width="7.421875" style="0" customWidth="1"/>
    <col min="3" max="3" width="7.8515625" style="0" customWidth="1"/>
    <col min="4" max="4" width="7.57421875" style="0" customWidth="1"/>
    <col min="5" max="5" width="7.421875" style="0" customWidth="1"/>
    <col min="6" max="6" width="7.28125" style="0" customWidth="1"/>
    <col min="7" max="7" width="7.421875" style="0" customWidth="1"/>
    <col min="8" max="8" width="7.28125" style="0" customWidth="1"/>
    <col min="18" max="18" width="9.57421875" style="0" customWidth="1"/>
    <col min="19" max="19" width="9.7109375" style="0" customWidth="1"/>
    <col min="20" max="20" width="9.421875" style="0" customWidth="1"/>
    <col min="21" max="27" width="6.7109375" style="0" customWidth="1"/>
  </cols>
  <sheetData>
    <row r="1" spans="12:20" ht="12.75">
      <c r="L1" s="79" t="s">
        <v>12</v>
      </c>
      <c r="M1" s="1">
        <v>3</v>
      </c>
      <c r="N1" s="78">
        <v>6</v>
      </c>
      <c r="O1" s="79">
        <v>9</v>
      </c>
      <c r="P1" s="1">
        <v>12</v>
      </c>
      <c r="Q1" s="79">
        <v>15</v>
      </c>
      <c r="R1" s="1">
        <v>18</v>
      </c>
      <c r="S1" s="79">
        <v>21</v>
      </c>
      <c r="T1" s="79">
        <v>24</v>
      </c>
    </row>
    <row r="2" ht="12.75">
      <c r="E2" s="63"/>
    </row>
    <row r="3" spans="2:10" ht="12.75">
      <c r="B3" t="s">
        <v>33</v>
      </c>
      <c r="D3" s="69">
        <v>-3</v>
      </c>
      <c r="J3" s="10"/>
    </row>
    <row r="4" spans="2:6" ht="12.75">
      <c r="B4" s="29"/>
      <c r="C4" s="10"/>
      <c r="D4" s="21"/>
      <c r="E4" s="21"/>
      <c r="F4" s="11"/>
    </row>
    <row r="5" spans="2:19" ht="12.75">
      <c r="B5" s="18"/>
      <c r="C5" s="10"/>
      <c r="J5" s="102" t="s">
        <v>120</v>
      </c>
      <c r="K5" t="s">
        <v>147</v>
      </c>
      <c r="L5" t="s">
        <v>148</v>
      </c>
      <c r="M5" t="s">
        <v>121</v>
      </c>
      <c r="N5" t="s">
        <v>143</v>
      </c>
      <c r="O5" s="102" t="s">
        <v>144</v>
      </c>
      <c r="S5" s="102"/>
    </row>
    <row r="6" spans="2:19" ht="12.75">
      <c r="B6" s="18"/>
      <c r="C6" s="10"/>
      <c r="F6" s="10"/>
      <c r="J6" s="102" t="s">
        <v>122</v>
      </c>
      <c r="K6" t="s">
        <v>123</v>
      </c>
      <c r="L6" t="s">
        <v>123</v>
      </c>
      <c r="M6" t="s">
        <v>123</v>
      </c>
      <c r="N6" t="s">
        <v>132</v>
      </c>
      <c r="O6" s="103" t="s">
        <v>132</v>
      </c>
      <c r="S6" s="102"/>
    </row>
    <row r="7" spans="2:19" ht="12.75">
      <c r="B7" s="18"/>
      <c r="C7" s="10"/>
      <c r="F7" s="10"/>
      <c r="J7" s="102" t="s">
        <v>124</v>
      </c>
      <c r="K7" t="s">
        <v>125</v>
      </c>
      <c r="L7" t="s">
        <v>125</v>
      </c>
      <c r="M7" t="s">
        <v>126</v>
      </c>
      <c r="N7" t="s">
        <v>77</v>
      </c>
      <c r="O7" t="s">
        <v>139</v>
      </c>
      <c r="S7" s="102"/>
    </row>
    <row r="8" spans="2:18" ht="12.75">
      <c r="B8" s="18"/>
      <c r="C8" s="10"/>
      <c r="F8" s="10"/>
      <c r="J8" s="102" t="s">
        <v>127</v>
      </c>
      <c r="R8" s="102"/>
    </row>
    <row r="9" spans="2:19" ht="12.75">
      <c r="B9" s="18"/>
      <c r="C9" s="10"/>
      <c r="F9" s="10"/>
      <c r="I9">
        <f>+J9+1</f>
        <v>1</v>
      </c>
      <c r="J9" s="102">
        <v>0</v>
      </c>
      <c r="K9">
        <v>22.2</v>
      </c>
      <c r="L9">
        <v>18.7</v>
      </c>
      <c r="M9">
        <v>80.5</v>
      </c>
      <c r="N9">
        <v>88.1</v>
      </c>
      <c r="O9">
        <v>3.6</v>
      </c>
      <c r="S9" s="102"/>
    </row>
    <row r="10" spans="2:19" ht="12.75">
      <c r="B10" s="18"/>
      <c r="C10" s="10"/>
      <c r="F10" s="10"/>
      <c r="I10">
        <f aca="true" t="shared" si="0" ref="I10:I17">+J10+1</f>
        <v>4</v>
      </c>
      <c r="J10" s="102">
        <v>3</v>
      </c>
      <c r="K10">
        <v>21</v>
      </c>
      <c r="L10">
        <v>19.1</v>
      </c>
      <c r="M10">
        <v>89.1</v>
      </c>
      <c r="N10">
        <v>61.4</v>
      </c>
      <c r="O10">
        <v>3.6</v>
      </c>
      <c r="S10" s="102"/>
    </row>
    <row r="11" spans="2:19" ht="12.75">
      <c r="B11" s="18"/>
      <c r="C11" s="10"/>
      <c r="F11" s="10"/>
      <c r="G11" s="11" t="s">
        <v>129</v>
      </c>
      <c r="H11" s="11" t="s">
        <v>60</v>
      </c>
      <c r="I11">
        <f t="shared" si="0"/>
        <v>7</v>
      </c>
      <c r="J11" s="102">
        <v>6</v>
      </c>
      <c r="K11">
        <v>20.3</v>
      </c>
      <c r="L11">
        <v>18.8</v>
      </c>
      <c r="M11">
        <v>91.2</v>
      </c>
      <c r="N11">
        <v>49.5</v>
      </c>
      <c r="O11">
        <v>3.5</v>
      </c>
      <c r="S11" s="102"/>
    </row>
    <row r="12" spans="1:19" ht="12.75">
      <c r="A12" t="s">
        <v>149</v>
      </c>
      <c r="B12" s="11" t="s">
        <v>13</v>
      </c>
      <c r="C12" s="29" t="s">
        <v>133</v>
      </c>
      <c r="D12" s="11" t="s">
        <v>134</v>
      </c>
      <c r="E12" s="29" t="s">
        <v>14</v>
      </c>
      <c r="F12" s="11" t="s">
        <v>28</v>
      </c>
      <c r="G12" s="11" t="s">
        <v>128</v>
      </c>
      <c r="H12" s="11" t="s">
        <v>118</v>
      </c>
      <c r="I12">
        <f t="shared" si="0"/>
        <v>10</v>
      </c>
      <c r="J12" s="102">
        <v>9</v>
      </c>
      <c r="K12">
        <v>27</v>
      </c>
      <c r="L12">
        <v>19.4</v>
      </c>
      <c r="M12">
        <v>63</v>
      </c>
      <c r="N12">
        <v>58.5</v>
      </c>
      <c r="O12">
        <v>5.3</v>
      </c>
      <c r="S12" s="102"/>
    </row>
    <row r="13" spans="1:19" ht="12.75">
      <c r="A13">
        <f>+B13+1</f>
        <v>7</v>
      </c>
      <c r="B13" s="10">
        <v>6</v>
      </c>
      <c r="C13" s="27">
        <f>cubic_spline($J$10:$J$16,$K$10:$K$16,B13)</f>
        <v>20.299999237060547</v>
      </c>
      <c r="D13" s="72"/>
      <c r="E13" s="12">
        <f>+D13-C13</f>
        <v>-20.299999237060547</v>
      </c>
      <c r="F13" s="28">
        <f>+IF(D13&lt;&gt;0,D13,C13+$E$26)</f>
        <v>21.299999237060547</v>
      </c>
      <c r="G13" s="26">
        <f>cubic_spline($J$10:$J$16,$M$10:$M$16,B13)</f>
        <v>91.19999694824219</v>
      </c>
      <c r="H13" s="26">
        <f>cubic_spline($J$10:$J$16,$L$10:$L$16,B13)</f>
        <v>18.799999237060547</v>
      </c>
      <c r="I13">
        <f t="shared" si="0"/>
        <v>13</v>
      </c>
      <c r="J13" s="102">
        <v>12</v>
      </c>
      <c r="K13">
        <v>32</v>
      </c>
      <c r="L13">
        <v>17.3</v>
      </c>
      <c r="M13">
        <v>41.5</v>
      </c>
      <c r="N13">
        <v>50.7</v>
      </c>
      <c r="O13">
        <v>5.8</v>
      </c>
      <c r="S13" s="102"/>
    </row>
    <row r="14" spans="1:19" ht="12.75">
      <c r="A14">
        <f aca="true" t="shared" si="1" ref="A14:A25">+B14+1</f>
        <v>8</v>
      </c>
      <c r="B14" s="10">
        <f>1+B13</f>
        <v>7</v>
      </c>
      <c r="C14" s="27">
        <f aca="true" t="shared" si="2" ref="C14:C25">cubic_spline($J$10:$J$16,$K$10:$K$16,B14)</f>
        <v>21.985203584155812</v>
      </c>
      <c r="D14" s="70"/>
      <c r="E14" s="12">
        <f>+D14-C14</f>
        <v>-21.985203584155812</v>
      </c>
      <c r="F14" s="28">
        <f aca="true" t="shared" si="3" ref="F14:F25">+IF(D14&lt;&gt;0,D14,C14+$E$26)</f>
        <v>22.985203584155812</v>
      </c>
      <c r="G14" s="26">
        <f aca="true" t="shared" si="4" ref="G14:G25">cubic_spline($J$10:$J$16,$M$10:$M$16,B14)</f>
        <v>84.06255361609055</v>
      </c>
      <c r="H14" s="26">
        <f aca="true" t="shared" si="5" ref="H14:H25">cubic_spline($J$10:$J$16,$L$10:$L$16,B14)</f>
        <v>19.115355435138586</v>
      </c>
      <c r="I14">
        <f t="shared" si="0"/>
        <v>16</v>
      </c>
      <c r="J14" s="102">
        <v>15</v>
      </c>
      <c r="K14">
        <v>31.6</v>
      </c>
      <c r="L14">
        <v>17.4</v>
      </c>
      <c r="M14">
        <v>42.6</v>
      </c>
      <c r="N14">
        <v>40.5</v>
      </c>
      <c r="O14">
        <v>2.8</v>
      </c>
      <c r="S14" s="102"/>
    </row>
    <row r="15" spans="1:19" ht="12.75">
      <c r="A15">
        <f t="shared" si="1"/>
        <v>9</v>
      </c>
      <c r="B15" s="10">
        <f aca="true" t="shared" si="6" ref="B15:B25">1+B14</f>
        <v>8</v>
      </c>
      <c r="C15" s="27">
        <f t="shared" si="2"/>
        <v>24.41787243870758</v>
      </c>
      <c r="D15" s="70"/>
      <c r="E15" s="12">
        <f aca="true" t="shared" si="7" ref="E15:E25">+D15-C15</f>
        <v>-24.41787243870758</v>
      </c>
      <c r="F15" s="28">
        <f t="shared" si="3"/>
        <v>25.41787243870758</v>
      </c>
      <c r="G15" s="26">
        <f t="shared" si="4"/>
        <v>73.85462453790115</v>
      </c>
      <c r="H15" s="26">
        <f t="shared" si="5"/>
        <v>19.42233568119442</v>
      </c>
      <c r="I15">
        <f t="shared" si="0"/>
        <v>19</v>
      </c>
      <c r="J15" s="102">
        <v>18</v>
      </c>
      <c r="K15">
        <v>28</v>
      </c>
      <c r="L15">
        <v>18.4</v>
      </c>
      <c r="M15">
        <v>56</v>
      </c>
      <c r="N15">
        <v>55.9</v>
      </c>
      <c r="O15">
        <v>1.9</v>
      </c>
      <c r="S15" s="102"/>
    </row>
    <row r="16" spans="1:19" ht="12.75">
      <c r="A16">
        <f t="shared" si="1"/>
        <v>10</v>
      </c>
      <c r="B16" s="10">
        <f t="shared" si="6"/>
        <v>9</v>
      </c>
      <c r="C16" s="27">
        <f t="shared" si="2"/>
        <v>27</v>
      </c>
      <c r="D16" s="70"/>
      <c r="E16" s="12">
        <f t="shared" si="7"/>
        <v>-27</v>
      </c>
      <c r="F16" s="28">
        <f t="shared" si="3"/>
        <v>28</v>
      </c>
      <c r="G16" s="26">
        <f t="shared" si="4"/>
        <v>63</v>
      </c>
      <c r="H16" s="26">
        <f t="shared" si="5"/>
        <v>19.399999618530273</v>
      </c>
      <c r="I16">
        <f t="shared" si="0"/>
        <v>22</v>
      </c>
      <c r="J16" s="102">
        <v>21</v>
      </c>
      <c r="K16">
        <v>25</v>
      </c>
      <c r="L16">
        <v>16.4</v>
      </c>
      <c r="M16">
        <v>59.2</v>
      </c>
      <c r="N16">
        <v>35.1</v>
      </c>
      <c r="O16">
        <v>3</v>
      </c>
      <c r="S16" s="103"/>
    </row>
    <row r="17" spans="1:22" ht="12.75">
      <c r="A17">
        <f t="shared" si="1"/>
        <v>11</v>
      </c>
      <c r="B17" s="10">
        <f t="shared" si="6"/>
        <v>10</v>
      </c>
      <c r="C17" s="27">
        <f t="shared" si="2"/>
        <v>29.22013297893722</v>
      </c>
      <c r="D17" s="70"/>
      <c r="E17" s="12">
        <f t="shared" si="7"/>
        <v>-29.22013297893722</v>
      </c>
      <c r="F17" s="28">
        <f t="shared" si="3"/>
        <v>30.22013297893722</v>
      </c>
      <c r="G17" s="26">
        <f t="shared" si="4"/>
        <v>53.57825307492177</v>
      </c>
      <c r="H17" s="26">
        <f t="shared" si="5"/>
        <v>18.844159404599765</v>
      </c>
      <c r="I17">
        <f t="shared" si="0"/>
        <v>25</v>
      </c>
      <c r="J17" s="102">
        <v>24</v>
      </c>
      <c r="K17">
        <v>23.7</v>
      </c>
      <c r="L17">
        <v>16.6</v>
      </c>
      <c r="M17">
        <v>64.4</v>
      </c>
      <c r="N17">
        <v>66.4</v>
      </c>
      <c r="O17">
        <v>3.7</v>
      </c>
      <c r="V17" s="103"/>
    </row>
    <row r="18" spans="1:18" ht="12.75">
      <c r="A18">
        <f t="shared" si="1"/>
        <v>12</v>
      </c>
      <c r="B18" s="10">
        <f t="shared" si="6"/>
        <v>11</v>
      </c>
      <c r="C18" s="27">
        <f t="shared" si="2"/>
        <v>30.913029430129928</v>
      </c>
      <c r="D18" s="70"/>
      <c r="E18" s="12">
        <f t="shared" si="7"/>
        <v>-30.913029430129928</v>
      </c>
      <c r="F18" s="28">
        <f t="shared" si="3"/>
        <v>31.913029430129928</v>
      </c>
      <c r="G18" s="26">
        <f t="shared" si="4"/>
        <v>46.29208965655406</v>
      </c>
      <c r="H18" s="26">
        <f>cubic_spline($J$10:$J$16,$L$10:$L$16,B18)</f>
        <v>18.0176348585247</v>
      </c>
      <c r="J18" s="103"/>
      <c r="R18" s="102"/>
    </row>
    <row r="19" spans="1:22" ht="12.75">
      <c r="A19">
        <f t="shared" si="1"/>
        <v>13</v>
      </c>
      <c r="B19" s="10">
        <f t="shared" si="6"/>
        <v>12</v>
      </c>
      <c r="C19" s="27">
        <f t="shared" si="2"/>
        <v>32</v>
      </c>
      <c r="D19" s="70"/>
      <c r="E19" s="12">
        <f t="shared" si="7"/>
        <v>-32</v>
      </c>
      <c r="F19" s="28">
        <f t="shared" si="3"/>
        <v>33</v>
      </c>
      <c r="G19" s="26">
        <f t="shared" si="4"/>
        <v>41.5</v>
      </c>
      <c r="H19" s="26">
        <f t="shared" si="5"/>
        <v>17.299999237060547</v>
      </c>
      <c r="M19" s="102" t="s">
        <v>120</v>
      </c>
      <c r="N19" t="s">
        <v>147</v>
      </c>
      <c r="O19" t="s">
        <v>148</v>
      </c>
      <c r="P19" t="s">
        <v>121</v>
      </c>
      <c r="Q19" t="s">
        <v>143</v>
      </c>
      <c r="R19" s="102" t="s">
        <v>144</v>
      </c>
      <c r="V19" s="102"/>
    </row>
    <row r="20" spans="1:22" ht="12.75">
      <c r="A20">
        <f t="shared" si="1"/>
        <v>14</v>
      </c>
      <c r="B20" s="10">
        <f t="shared" si="6"/>
        <v>13</v>
      </c>
      <c r="C20" s="27">
        <f t="shared" si="2"/>
        <v>32.43056105225005</v>
      </c>
      <c r="D20" s="70"/>
      <c r="E20" s="12">
        <f t="shared" si="7"/>
        <v>-32.43056105225005</v>
      </c>
      <c r="F20" s="28">
        <f t="shared" si="3"/>
        <v>33.43056105225005</v>
      </c>
      <c r="G20" s="26">
        <f t="shared" si="4"/>
        <v>39.44665784490669</v>
      </c>
      <c r="H20" s="26">
        <f t="shared" si="5"/>
        <v>16.98948648394937</v>
      </c>
      <c r="M20" s="102" t="s">
        <v>122</v>
      </c>
      <c r="N20" t="s">
        <v>123</v>
      </c>
      <c r="O20" t="s">
        <v>123</v>
      </c>
      <c r="P20" t="s">
        <v>123</v>
      </c>
      <c r="Q20" t="s">
        <v>132</v>
      </c>
      <c r="R20" s="103" t="s">
        <v>132</v>
      </c>
      <c r="V20" s="102"/>
    </row>
    <row r="21" spans="1:22" ht="12.75">
      <c r="A21">
        <f t="shared" si="1"/>
        <v>15</v>
      </c>
      <c r="B21" s="10">
        <f t="shared" si="6"/>
        <v>14</v>
      </c>
      <c r="C21" s="27">
        <f t="shared" si="2"/>
        <v>32.2670471504458</v>
      </c>
      <c r="D21" s="70"/>
      <c r="E21" s="12">
        <f t="shared" si="7"/>
        <v>-32.2670471504458</v>
      </c>
      <c r="F21" s="28">
        <f t="shared" si="3"/>
        <v>33.2670471504458</v>
      </c>
      <c r="G21" s="26">
        <f t="shared" si="4"/>
        <v>39.9214618717376</v>
      </c>
      <c r="H21" s="26">
        <f t="shared" si="5"/>
        <v>17.058973820787717</v>
      </c>
      <c r="M21" s="102" t="s">
        <v>124</v>
      </c>
      <c r="N21" t="s">
        <v>125</v>
      </c>
      <c r="O21" t="s">
        <v>125</v>
      </c>
      <c r="P21" t="s">
        <v>126</v>
      </c>
      <c r="Q21" t="s">
        <v>77</v>
      </c>
      <c r="R21" t="s">
        <v>139</v>
      </c>
      <c r="V21" s="102"/>
    </row>
    <row r="22" spans="1:22" ht="12.75">
      <c r="A22">
        <f t="shared" si="1"/>
        <v>16</v>
      </c>
      <c r="B22" s="10">
        <f t="shared" si="6"/>
        <v>15</v>
      </c>
      <c r="C22" s="27">
        <f t="shared" si="2"/>
        <v>31.600000381469727</v>
      </c>
      <c r="D22" s="70"/>
      <c r="E22" s="12">
        <f t="shared" si="7"/>
        <v>-31.600000381469727</v>
      </c>
      <c r="F22" s="28">
        <f t="shared" si="3"/>
        <v>32.60000038146973</v>
      </c>
      <c r="G22" s="26">
        <f t="shared" si="4"/>
        <v>42.599998474121094</v>
      </c>
      <c r="H22" s="26">
        <f t="shared" si="5"/>
        <v>17.399999618530273</v>
      </c>
      <c r="M22" s="102" t="s">
        <v>127</v>
      </c>
      <c r="V22" s="102"/>
    </row>
    <row r="23" spans="1:22" ht="12.75">
      <c r="A23">
        <f t="shared" si="1"/>
        <v>17</v>
      </c>
      <c r="B23" s="10">
        <f>1+B22</f>
        <v>16</v>
      </c>
      <c r="C23" s="27">
        <f t="shared" si="2"/>
        <v>30.539108268953115</v>
      </c>
      <c r="D23" s="70"/>
      <c r="E23" s="12">
        <f t="shared" si="7"/>
        <v>-30.539108268953115</v>
      </c>
      <c r="F23" s="28">
        <f t="shared" si="3"/>
        <v>31.539108268953115</v>
      </c>
      <c r="G23" s="26">
        <f t="shared" si="4"/>
        <v>46.986970019466185</v>
      </c>
      <c r="H23" s="26">
        <f t="shared" si="5"/>
        <v>17.88307724889527</v>
      </c>
      <c r="M23" s="102">
        <v>0</v>
      </c>
      <c r="N23">
        <v>21.9</v>
      </c>
      <c r="O23">
        <v>21</v>
      </c>
      <c r="P23">
        <v>94.6</v>
      </c>
      <c r="Q23">
        <v>131.2</v>
      </c>
      <c r="R23">
        <v>3.1</v>
      </c>
      <c r="V23" s="102"/>
    </row>
    <row r="24" spans="1:22" ht="12.75">
      <c r="A24">
        <f t="shared" si="1"/>
        <v>18</v>
      </c>
      <c r="B24" s="10">
        <f t="shared" si="6"/>
        <v>17</v>
      </c>
      <c r="C24" s="27">
        <f t="shared" si="2"/>
        <v>29.27063675966188</v>
      </c>
      <c r="D24" s="70"/>
      <c r="E24" s="12">
        <f t="shared" si="7"/>
        <v>-29.27063675966188</v>
      </c>
      <c r="F24" s="28">
        <f t="shared" si="3"/>
        <v>30.27063675966188</v>
      </c>
      <c r="G24" s="26">
        <f t="shared" si="4"/>
        <v>51.90354197012732</v>
      </c>
      <c r="H24" s="26">
        <f t="shared" si="5"/>
        <v>18.294615373051066</v>
      </c>
      <c r="M24" s="102">
        <v>3</v>
      </c>
      <c r="N24">
        <v>20.8</v>
      </c>
      <c r="O24">
        <v>20.4</v>
      </c>
      <c r="P24">
        <v>97.4</v>
      </c>
      <c r="Q24">
        <v>125.9</v>
      </c>
      <c r="R24">
        <v>3.4</v>
      </c>
      <c r="V24" s="102"/>
    </row>
    <row r="25" spans="1:22" ht="12.75">
      <c r="A25">
        <f t="shared" si="1"/>
        <v>19</v>
      </c>
      <c r="B25" s="10">
        <f t="shared" si="6"/>
        <v>18</v>
      </c>
      <c r="C25" s="27">
        <f t="shared" si="2"/>
        <v>28</v>
      </c>
      <c r="D25" s="71"/>
      <c r="E25" s="12">
        <f t="shared" si="7"/>
        <v>-28</v>
      </c>
      <c r="F25" s="28">
        <f t="shared" si="3"/>
        <v>29</v>
      </c>
      <c r="G25" s="26">
        <f t="shared" si="4"/>
        <v>56</v>
      </c>
      <c r="H25" s="26">
        <f t="shared" si="5"/>
        <v>18.399999618530273</v>
      </c>
      <c r="M25" s="102">
        <v>6</v>
      </c>
      <c r="N25">
        <v>19.8</v>
      </c>
      <c r="O25">
        <v>19.5</v>
      </c>
      <c r="P25">
        <v>98</v>
      </c>
      <c r="Q25">
        <v>111.6</v>
      </c>
      <c r="R25">
        <v>3.2</v>
      </c>
      <c r="V25" s="102"/>
    </row>
    <row r="26" spans="4:22" ht="12.75">
      <c r="D26" s="13" t="s">
        <v>14</v>
      </c>
      <c r="E26" s="73">
        <v>1</v>
      </c>
      <c r="M26" s="102">
        <v>9</v>
      </c>
      <c r="N26">
        <v>24.8</v>
      </c>
      <c r="O26">
        <v>21.6</v>
      </c>
      <c r="P26">
        <v>82.2</v>
      </c>
      <c r="Q26">
        <v>90.4</v>
      </c>
      <c r="R26">
        <v>3.5</v>
      </c>
      <c r="V26" s="102"/>
    </row>
    <row r="27" spans="13:22" ht="12.75">
      <c r="M27" s="102">
        <v>12</v>
      </c>
      <c r="N27">
        <v>31.2</v>
      </c>
      <c r="O27">
        <v>23.4</v>
      </c>
      <c r="P27">
        <v>63.5</v>
      </c>
      <c r="Q27">
        <v>102</v>
      </c>
      <c r="R27">
        <v>1.8</v>
      </c>
      <c r="V27" s="102"/>
    </row>
    <row r="28" spans="2:22" ht="12.75">
      <c r="B28" s="10" t="s">
        <v>63</v>
      </c>
      <c r="M28" s="102">
        <v>15</v>
      </c>
      <c r="N28">
        <v>29.8</v>
      </c>
      <c r="O28">
        <v>22.8</v>
      </c>
      <c r="P28">
        <v>66.4</v>
      </c>
      <c r="Q28">
        <v>148.6</v>
      </c>
      <c r="R28">
        <v>3</v>
      </c>
      <c r="V28" s="102"/>
    </row>
    <row r="29" spans="13:22" ht="12.75">
      <c r="M29" s="102">
        <v>18</v>
      </c>
      <c r="N29">
        <v>28</v>
      </c>
      <c r="O29">
        <v>24.3</v>
      </c>
      <c r="P29">
        <v>80.7</v>
      </c>
      <c r="Q29">
        <v>127.4</v>
      </c>
      <c r="R29">
        <v>3.3</v>
      </c>
      <c r="V29" s="102"/>
    </row>
    <row r="30" spans="13:22" ht="12.75">
      <c r="M30" s="102">
        <v>21</v>
      </c>
      <c r="N30">
        <v>23.9</v>
      </c>
      <c r="O30">
        <v>21.6</v>
      </c>
      <c r="P30">
        <v>87</v>
      </c>
      <c r="Q30">
        <v>123.3</v>
      </c>
      <c r="R30">
        <v>4.1</v>
      </c>
      <c r="V30" s="103"/>
    </row>
    <row r="31" spans="13:18" ht="12.75">
      <c r="M31" s="102">
        <v>24</v>
      </c>
      <c r="N31">
        <v>22.5</v>
      </c>
      <c r="O31">
        <v>21.3</v>
      </c>
      <c r="P31">
        <v>93</v>
      </c>
      <c r="Q31">
        <v>84.1</v>
      </c>
      <c r="R31">
        <v>4.1</v>
      </c>
    </row>
    <row r="32" ht="12.75">
      <c r="M32" s="103"/>
    </row>
    <row r="33" spans="12:20" ht="12.75">
      <c r="L33" s="64" t="s">
        <v>151</v>
      </c>
      <c r="M33" s="1">
        <f>+M35-2</f>
        <v>1</v>
      </c>
      <c r="N33" s="1">
        <f aca="true" t="shared" si="8" ref="N33:T33">+N35-2</f>
        <v>4</v>
      </c>
      <c r="O33" s="1">
        <f t="shared" si="8"/>
        <v>7</v>
      </c>
      <c r="P33" s="1">
        <f t="shared" si="8"/>
        <v>10</v>
      </c>
      <c r="Q33" s="1">
        <f t="shared" si="8"/>
        <v>13</v>
      </c>
      <c r="R33" s="1">
        <f t="shared" si="8"/>
        <v>16</v>
      </c>
      <c r="S33" s="1">
        <f t="shared" si="8"/>
        <v>19</v>
      </c>
      <c r="T33" s="1">
        <f t="shared" si="8"/>
        <v>22</v>
      </c>
    </row>
    <row r="35" spans="12:20" ht="12.75">
      <c r="L35" s="79" t="s">
        <v>12</v>
      </c>
      <c r="M35" s="1">
        <v>3</v>
      </c>
      <c r="N35" s="78">
        <v>6</v>
      </c>
      <c r="O35" s="79">
        <v>9</v>
      </c>
      <c r="P35" s="1">
        <v>12</v>
      </c>
      <c r="Q35" s="79">
        <v>15</v>
      </c>
      <c r="R35" s="1">
        <v>18</v>
      </c>
      <c r="S35" s="79">
        <v>21</v>
      </c>
      <c r="T35" s="79">
        <v>24</v>
      </c>
    </row>
    <row r="37" spans="12:20" ht="12.75">
      <c r="L37" s="79" t="s">
        <v>99</v>
      </c>
      <c r="M37" s="1">
        <v>0</v>
      </c>
      <c r="N37" s="78">
        <v>3</v>
      </c>
      <c r="O37" s="79">
        <v>6</v>
      </c>
      <c r="P37" s="1">
        <v>9</v>
      </c>
      <c r="Q37" s="79">
        <v>12</v>
      </c>
      <c r="R37" s="1">
        <v>15</v>
      </c>
      <c r="S37" s="79">
        <v>18</v>
      </c>
      <c r="T37" s="79">
        <v>21</v>
      </c>
    </row>
    <row r="38" spans="2:8" ht="14.25">
      <c r="B38" s="10" t="s">
        <v>32</v>
      </c>
      <c r="C38" s="10"/>
      <c r="D38" s="10"/>
      <c r="E38" s="10"/>
      <c r="F38" s="10"/>
      <c r="G38" s="10"/>
      <c r="H38" s="10"/>
    </row>
    <row r="39" spans="2:16" ht="12.75">
      <c r="B39" s="10" t="s">
        <v>131</v>
      </c>
      <c r="C39" s="10"/>
      <c r="D39" s="10"/>
      <c r="E39" s="10"/>
      <c r="F39" s="10"/>
      <c r="G39" s="10"/>
      <c r="H39" s="10"/>
      <c r="P39" s="10" t="s">
        <v>150</v>
      </c>
    </row>
    <row r="40" spans="2:8" ht="12.75">
      <c r="B40" s="10" t="s">
        <v>130</v>
      </c>
      <c r="C40" s="10"/>
      <c r="D40" s="10"/>
      <c r="E40" s="10"/>
      <c r="F40" s="10"/>
      <c r="G40" s="10"/>
      <c r="H40" s="10"/>
    </row>
    <row r="41" spans="2:8" ht="12.75">
      <c r="B41" s="10"/>
      <c r="C41" s="10"/>
      <c r="D41" s="10"/>
      <c r="E41" s="10"/>
      <c r="F41" s="10"/>
      <c r="G41" s="10"/>
      <c r="H41" s="10"/>
    </row>
    <row r="42" spans="2:8" ht="12.75">
      <c r="B42" s="10"/>
      <c r="C42" s="10"/>
      <c r="D42" s="10"/>
      <c r="E42" s="10"/>
      <c r="F42" s="10"/>
      <c r="G42" s="10"/>
      <c r="H42" s="10"/>
    </row>
    <row r="43" spans="2:8" ht="12.75">
      <c r="B43" s="10" t="s">
        <v>41</v>
      </c>
      <c r="C43" s="10"/>
      <c r="D43" s="10"/>
      <c r="E43" s="10"/>
      <c r="F43" s="10"/>
      <c r="G43" s="10"/>
      <c r="H43" s="10"/>
    </row>
    <row r="44" spans="2:8" ht="12.75">
      <c r="B44" s="10" t="s">
        <v>38</v>
      </c>
      <c r="C44" s="10"/>
      <c r="D44" s="10"/>
      <c r="E44" s="10"/>
      <c r="F44" s="10"/>
      <c r="G44" s="10"/>
      <c r="H44" s="10"/>
    </row>
    <row r="45" spans="2:8" ht="12.75">
      <c r="B45" s="10" t="s">
        <v>40</v>
      </c>
      <c r="C45" s="10"/>
      <c r="D45" s="10"/>
      <c r="E45" s="10"/>
      <c r="F45" s="10"/>
      <c r="G45" s="10"/>
      <c r="H45" s="10"/>
    </row>
    <row r="46" spans="2:28" ht="14.25" customHeight="1">
      <c r="B46" s="10" t="s">
        <v>39</v>
      </c>
      <c r="C46" s="10"/>
      <c r="D46" s="10"/>
      <c r="E46" s="10"/>
      <c r="F46" s="10"/>
      <c r="G46" s="10"/>
      <c r="H46" s="10"/>
      <c r="V46" s="97">
        <v>13</v>
      </c>
      <c r="AB46" s="95"/>
    </row>
    <row r="47" spans="2:8" ht="12.75">
      <c r="B47" s="10" t="s">
        <v>42</v>
      </c>
      <c r="C47" s="10"/>
      <c r="D47" s="10"/>
      <c r="E47" s="10"/>
      <c r="F47" s="10"/>
      <c r="G47" s="10"/>
      <c r="H47" s="10"/>
    </row>
    <row r="48" spans="2:8" ht="12.75">
      <c r="B48" s="10" t="s">
        <v>43</v>
      </c>
      <c r="C48" s="10"/>
      <c r="D48" s="10"/>
      <c r="E48" s="10"/>
      <c r="F48" s="10"/>
      <c r="G48" s="10"/>
      <c r="H48" s="10"/>
    </row>
    <row r="54" ht="14.25" customHeight="1">
      <c r="AC54" s="97">
        <v>31</v>
      </c>
    </row>
  </sheetData>
  <sheetProtection/>
  <printOptions/>
  <pageMargins left="0.787401575" right="0.787401575" top="0.984251969" bottom="0.984251969" header="0.492125985" footer="0.492125985"/>
  <pageSetup orientation="portrait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B1:AB61"/>
  <sheetViews>
    <sheetView zoomScale="75" zoomScaleNormal="75" zoomScalePageLayoutView="0" workbookViewId="0" topLeftCell="B1">
      <selection activeCell="AA54" sqref="AA54"/>
    </sheetView>
  </sheetViews>
  <sheetFormatPr defaultColWidth="9.140625" defaultRowHeight="12.75"/>
  <cols>
    <col min="1" max="1" width="3.421875" style="0" customWidth="1"/>
    <col min="2" max="3" width="7.28125" style="0" customWidth="1"/>
    <col min="4" max="7" width="7.421875" style="0" customWidth="1"/>
    <col min="8" max="9" width="7.57421875" style="0" customWidth="1"/>
    <col min="10" max="10" width="7.57421875" style="12" customWidth="1"/>
    <col min="11" max="11" width="8.140625" style="12" customWidth="1"/>
    <col min="12" max="12" width="7.7109375" style="12" customWidth="1"/>
    <col min="13" max="13" width="7.8515625" style="12" customWidth="1"/>
    <col min="14" max="14" width="8.00390625" style="0" customWidth="1"/>
    <col min="15" max="16" width="7.421875" style="0" customWidth="1"/>
    <col min="17" max="17" width="6.7109375" style="0" customWidth="1"/>
  </cols>
  <sheetData>
    <row r="1" spans="2:23" s="10" customFormat="1" ht="12.75">
      <c r="B1" s="22" t="s">
        <v>154</v>
      </c>
      <c r="D1" s="60" t="s">
        <v>18</v>
      </c>
      <c r="E1" s="60"/>
      <c r="F1" s="63">
        <v>600</v>
      </c>
      <c r="G1" s="63"/>
      <c r="H1" s="22" t="s">
        <v>7</v>
      </c>
      <c r="I1" s="60" t="s">
        <v>21</v>
      </c>
      <c r="J1" s="10">
        <v>948</v>
      </c>
      <c r="K1" s="60" t="s">
        <v>22</v>
      </c>
      <c r="L1" s="10">
        <v>-20.95</v>
      </c>
      <c r="M1" s="60" t="s">
        <v>23</v>
      </c>
      <c r="N1" s="10">
        <v>-48.4</v>
      </c>
      <c r="R1" s="102" t="s">
        <v>111</v>
      </c>
      <c r="S1" s="10" t="s">
        <v>104</v>
      </c>
      <c r="T1" s="10" t="s">
        <v>105</v>
      </c>
      <c r="U1" s="10" t="s">
        <v>106</v>
      </c>
      <c r="V1" s="10" t="s">
        <v>102</v>
      </c>
      <c r="W1" s="10" t="s">
        <v>74</v>
      </c>
    </row>
    <row r="2" spans="2:23" ht="12.75">
      <c r="B2" s="55" t="s">
        <v>25</v>
      </c>
      <c r="C2" s="1"/>
      <c r="D2" s="1"/>
      <c r="E2" s="1"/>
      <c r="F2" s="2"/>
      <c r="G2" s="1"/>
      <c r="H2" s="13" t="s">
        <v>67</v>
      </c>
      <c r="I2" s="2"/>
      <c r="J2" s="56"/>
      <c r="K2" s="59" t="s">
        <v>20</v>
      </c>
      <c r="L2" s="57"/>
      <c r="M2" s="61" t="s">
        <v>24</v>
      </c>
      <c r="N2" s="13" t="s">
        <v>19</v>
      </c>
      <c r="O2" s="2"/>
      <c r="P2" s="13" t="s">
        <v>30</v>
      </c>
      <c r="Q2" s="2"/>
      <c r="R2" s="102" t="s">
        <v>107</v>
      </c>
      <c r="S2" t="s">
        <v>75</v>
      </c>
      <c r="T2" t="s">
        <v>76</v>
      </c>
      <c r="U2" t="s">
        <v>76</v>
      </c>
      <c r="V2" t="s">
        <v>77</v>
      </c>
      <c r="W2" t="s">
        <v>78</v>
      </c>
    </row>
    <row r="3" spans="2:23" s="29" customFormat="1" ht="12.75">
      <c r="B3" s="74" t="s">
        <v>61</v>
      </c>
      <c r="C3" s="54" t="s">
        <v>15</v>
      </c>
      <c r="D3" s="34" t="s">
        <v>1</v>
      </c>
      <c r="E3" s="34" t="s">
        <v>81</v>
      </c>
      <c r="F3" s="49" t="s">
        <v>83</v>
      </c>
      <c r="G3" s="49" t="s">
        <v>84</v>
      </c>
      <c r="H3" s="36" t="s">
        <v>8</v>
      </c>
      <c r="I3" s="37" t="s">
        <v>1</v>
      </c>
      <c r="J3" s="20" t="s">
        <v>82</v>
      </c>
      <c r="K3" s="45" t="s">
        <v>9</v>
      </c>
      <c r="L3" s="46" t="s">
        <v>68</v>
      </c>
      <c r="M3" s="15" t="s">
        <v>17</v>
      </c>
      <c r="N3" s="90" t="s">
        <v>31</v>
      </c>
      <c r="O3" s="44" t="s">
        <v>8</v>
      </c>
      <c r="P3" s="36" t="s">
        <v>16</v>
      </c>
      <c r="Q3" s="35" t="s">
        <v>8</v>
      </c>
      <c r="R3" s="144">
        <v>935</v>
      </c>
      <c r="S3" s="145">
        <v>688</v>
      </c>
      <c r="T3" s="146">
        <v>31.6</v>
      </c>
      <c r="U3" s="146">
        <v>17.5</v>
      </c>
      <c r="V3" s="146">
        <v>40.5</v>
      </c>
      <c r="W3" s="147">
        <v>1.4</v>
      </c>
    </row>
    <row r="4" spans="2:28" ht="12.75">
      <c r="B4" s="75">
        <f>1013-0.1172*C4+0.0000045*C4^2</f>
        <v>944.3000000000001</v>
      </c>
      <c r="C4" s="52">
        <f>+H4+$F$1</f>
        <v>600</v>
      </c>
      <c r="D4">
        <f>+T3</f>
        <v>31.6</v>
      </c>
      <c r="E4">
        <f>+U3</f>
        <v>17.5</v>
      </c>
      <c r="F4" s="50">
        <f>+D4</f>
        <v>31.6</v>
      </c>
      <c r="G4" s="50">
        <f>+E4</f>
        <v>17.5</v>
      </c>
      <c r="H4" s="9">
        <v>0</v>
      </c>
      <c r="I4" s="32"/>
      <c r="J4" s="62">
        <f>+Análise!F23</f>
        <v>17.399999618530273</v>
      </c>
      <c r="K4" s="62">
        <f>+Análise!F21</f>
        <v>32.60000038146973</v>
      </c>
      <c r="L4" s="40">
        <f>+IF(K4&gt;J4,K4,K3-(H4-H3)*0.00475)</f>
        <v>32.60000038146973</v>
      </c>
      <c r="M4" s="38">
        <f>+K4</f>
        <v>32.60000038146973</v>
      </c>
      <c r="N4" s="41">
        <f aca="true" t="shared" si="0" ref="N4:N32">+IF(I4=0,F4,I4)</f>
        <v>31.6</v>
      </c>
      <c r="O4" s="5">
        <f>+H4</f>
        <v>0</v>
      </c>
      <c r="P4" s="47">
        <f aca="true" t="shared" si="1" ref="P4:P11">+P5+(H5-H4)*0.0104</f>
        <v>32.419999999999995</v>
      </c>
      <c r="Q4" s="5">
        <f aca="true" t="shared" si="2" ref="Q4:Q12">+H4</f>
        <v>0</v>
      </c>
      <c r="R4" s="148">
        <v>925</v>
      </c>
      <c r="S4" s="4">
        <v>778</v>
      </c>
      <c r="T4" s="4">
        <v>30.4</v>
      </c>
      <c r="U4" s="4">
        <v>15.3</v>
      </c>
      <c r="V4" s="4">
        <v>38.5</v>
      </c>
      <c r="W4" s="5">
        <v>2.1</v>
      </c>
      <c r="AB4" s="9"/>
    </row>
    <row r="5" spans="2:28" ht="12.75">
      <c r="B5" s="76">
        <f aca="true" t="shared" si="3" ref="B5:B32">1013-0.1172*C5+0.0000045*C5^2</f>
        <v>933.1650000000001</v>
      </c>
      <c r="C5" s="52">
        <f aca="true" t="shared" si="4" ref="C5:C32">+H5+$F$1</f>
        <v>700</v>
      </c>
      <c r="D5" s="30"/>
      <c r="E5" s="30"/>
      <c r="F5" s="50">
        <f>+D4/2+D6/2</f>
        <v>31</v>
      </c>
      <c r="G5" s="50">
        <f>+E4/2+E6/2</f>
        <v>16.4</v>
      </c>
      <c r="H5" s="9">
        <f aca="true" t="shared" si="5" ref="H5:H28">+H4+100</f>
        <v>100</v>
      </c>
      <c r="I5" s="32"/>
      <c r="J5" s="38">
        <f aca="true" t="shared" si="6" ref="J5:J32">+J4-(H5-H4)*0.002</f>
        <v>17.199999618530274</v>
      </c>
      <c r="K5" s="41">
        <f aca="true" t="shared" si="7" ref="K5:K32">+K4-(H5-H4)*0.0104</f>
        <v>31.560000381469727</v>
      </c>
      <c r="L5" s="40">
        <f aca="true" t="shared" si="8" ref="L5:L32">+IF(K5&gt;J5,K5,L4-(H5-H4)*0.00475)</f>
        <v>31.560000381469727</v>
      </c>
      <c r="M5" s="38">
        <f>+IF(L5&gt;N5,L5,0)</f>
        <v>31.560000381469727</v>
      </c>
      <c r="N5" s="41">
        <f t="shared" si="0"/>
        <v>31</v>
      </c>
      <c r="O5" s="5">
        <f aca="true" t="shared" si="9" ref="O5:O32">+H5</f>
        <v>100</v>
      </c>
      <c r="P5" s="48">
        <f t="shared" si="1"/>
        <v>31.379999999999995</v>
      </c>
      <c r="Q5" s="5">
        <f t="shared" si="2"/>
        <v>100</v>
      </c>
      <c r="R5" s="148">
        <v>900</v>
      </c>
      <c r="S5" s="4">
        <v>1022</v>
      </c>
      <c r="T5" s="4">
        <v>28.1</v>
      </c>
      <c r="U5" s="4">
        <v>14.7</v>
      </c>
      <c r="V5" s="4">
        <v>32.7</v>
      </c>
      <c r="W5" s="5">
        <v>2.5</v>
      </c>
      <c r="AB5" s="9"/>
    </row>
    <row r="6" spans="2:28" ht="12.75">
      <c r="B6" s="76">
        <f t="shared" si="3"/>
        <v>922.12</v>
      </c>
      <c r="C6" s="52">
        <f t="shared" si="4"/>
        <v>800</v>
      </c>
      <c r="D6">
        <f>+T4</f>
        <v>30.4</v>
      </c>
      <c r="E6">
        <f>+U4</f>
        <v>15.3</v>
      </c>
      <c r="F6" s="50">
        <f>+D6</f>
        <v>30.4</v>
      </c>
      <c r="G6" s="50">
        <f>+E6</f>
        <v>15.3</v>
      </c>
      <c r="H6" s="9">
        <f t="shared" si="5"/>
        <v>200</v>
      </c>
      <c r="I6" s="32"/>
      <c r="J6" s="38">
        <f t="shared" si="6"/>
        <v>16.999999618530275</v>
      </c>
      <c r="K6" s="41">
        <f>+K5-(H6-H5)*0.0104</f>
        <v>30.52000038146973</v>
      </c>
      <c r="L6" s="40">
        <f t="shared" si="8"/>
        <v>30.52000038146973</v>
      </c>
      <c r="M6" s="38">
        <f>+IF(L6&gt;N6,L6,0)</f>
        <v>30.52000038146973</v>
      </c>
      <c r="N6" s="41">
        <f t="shared" si="0"/>
        <v>30.4</v>
      </c>
      <c r="O6" s="5">
        <f t="shared" si="9"/>
        <v>200</v>
      </c>
      <c r="P6" s="48">
        <f t="shared" si="1"/>
        <v>30.339999999999996</v>
      </c>
      <c r="Q6" s="5">
        <f t="shared" si="2"/>
        <v>200</v>
      </c>
      <c r="R6" s="148">
        <v>850</v>
      </c>
      <c r="S6" s="4">
        <v>1525</v>
      </c>
      <c r="T6" s="4">
        <v>23.1</v>
      </c>
      <c r="U6" s="4">
        <v>13.6</v>
      </c>
      <c r="V6" s="4">
        <v>28.7</v>
      </c>
      <c r="W6" s="5">
        <v>2.8</v>
      </c>
      <c r="AB6" s="9"/>
    </row>
    <row r="7" spans="2:28" ht="12.75">
      <c r="B7" s="76">
        <f t="shared" si="3"/>
        <v>911.165</v>
      </c>
      <c r="C7" s="52">
        <f t="shared" si="4"/>
        <v>900</v>
      </c>
      <c r="D7" s="30"/>
      <c r="E7" s="30"/>
      <c r="F7" s="50">
        <f>+D6/2+D8/2</f>
        <v>29.25</v>
      </c>
      <c r="G7" s="50">
        <f>+E6/2+E8/2</f>
        <v>15</v>
      </c>
      <c r="H7" s="9">
        <f t="shared" si="5"/>
        <v>300</v>
      </c>
      <c r="I7" s="32"/>
      <c r="J7" s="38">
        <f t="shared" si="6"/>
        <v>16.799999618530276</v>
      </c>
      <c r="K7" s="41">
        <f t="shared" si="7"/>
        <v>29.48000038146973</v>
      </c>
      <c r="L7" s="40">
        <f t="shared" si="8"/>
        <v>29.48000038146973</v>
      </c>
      <c r="M7" s="38">
        <f aca="true" t="shared" si="10" ref="M7:M32">+IF(L7&gt;N7,L7,0)</f>
        <v>29.48000038146973</v>
      </c>
      <c r="N7" s="41">
        <f t="shared" si="0"/>
        <v>29.25</v>
      </c>
      <c r="O7" s="5">
        <f t="shared" si="9"/>
        <v>300</v>
      </c>
      <c r="P7" s="48">
        <f t="shared" si="1"/>
        <v>29.299999999999997</v>
      </c>
      <c r="Q7" s="5">
        <f t="shared" si="2"/>
        <v>300</v>
      </c>
      <c r="R7" s="148">
        <v>800</v>
      </c>
      <c r="S7" s="4">
        <v>2051</v>
      </c>
      <c r="T7" s="4">
        <v>18</v>
      </c>
      <c r="U7" s="4">
        <v>12.6</v>
      </c>
      <c r="V7" s="4">
        <v>24.8</v>
      </c>
      <c r="W7" s="5">
        <v>2.8</v>
      </c>
      <c r="AB7" s="9"/>
    </row>
    <row r="8" spans="2:28" ht="12.75">
      <c r="B8" s="75">
        <f t="shared" si="3"/>
        <v>900.3</v>
      </c>
      <c r="C8" s="52">
        <f t="shared" si="4"/>
        <v>1000</v>
      </c>
      <c r="D8">
        <f>+T5</f>
        <v>28.1</v>
      </c>
      <c r="E8">
        <f>+U5</f>
        <v>14.7</v>
      </c>
      <c r="F8" s="50">
        <f>+D8</f>
        <v>28.1</v>
      </c>
      <c r="G8" s="50">
        <f>+E8</f>
        <v>14.7</v>
      </c>
      <c r="H8" s="9">
        <f t="shared" si="5"/>
        <v>400</v>
      </c>
      <c r="I8" s="32"/>
      <c r="J8" s="38">
        <f t="shared" si="6"/>
        <v>16.599999618530276</v>
      </c>
      <c r="K8" s="41">
        <f t="shared" si="7"/>
        <v>28.44000038146973</v>
      </c>
      <c r="L8" s="40">
        <f t="shared" si="8"/>
        <v>28.44000038146973</v>
      </c>
      <c r="M8" s="38">
        <f t="shared" si="10"/>
        <v>28.44000038146973</v>
      </c>
      <c r="N8" s="41">
        <f t="shared" si="0"/>
        <v>28.1</v>
      </c>
      <c r="O8" s="5">
        <f t="shared" si="9"/>
        <v>400</v>
      </c>
      <c r="P8" s="48">
        <f t="shared" si="1"/>
        <v>28.259999999999998</v>
      </c>
      <c r="Q8" s="5">
        <f t="shared" si="2"/>
        <v>400</v>
      </c>
      <c r="R8" s="148">
        <v>750</v>
      </c>
      <c r="S8" s="4">
        <v>2598</v>
      </c>
      <c r="T8" s="4">
        <v>12.7</v>
      </c>
      <c r="U8" s="4">
        <v>11.4</v>
      </c>
      <c r="V8" s="4">
        <v>9.2</v>
      </c>
      <c r="W8" s="5">
        <v>2.6</v>
      </c>
      <c r="AB8" s="9"/>
    </row>
    <row r="9" spans="2:28" ht="12.75">
      <c r="B9" s="76">
        <f t="shared" si="3"/>
        <v>889.5250000000001</v>
      </c>
      <c r="C9" s="52">
        <f t="shared" si="4"/>
        <v>1100</v>
      </c>
      <c r="D9" s="30"/>
      <c r="E9" s="30"/>
      <c r="F9" s="50">
        <f>+F8-($D$8-$D$13)/5</f>
        <v>27.1</v>
      </c>
      <c r="G9" s="50">
        <f>+G8-($E$8-$E$13)/5</f>
        <v>14.479999999999999</v>
      </c>
      <c r="H9" s="9">
        <f t="shared" si="5"/>
        <v>500</v>
      </c>
      <c r="I9" s="32"/>
      <c r="J9" s="38">
        <f t="shared" si="6"/>
        <v>16.399999618530277</v>
      </c>
      <c r="K9" s="41">
        <f t="shared" si="7"/>
        <v>27.40000038146973</v>
      </c>
      <c r="L9" s="40">
        <f t="shared" si="8"/>
        <v>27.40000038146973</v>
      </c>
      <c r="M9" s="38">
        <f t="shared" si="10"/>
        <v>27.40000038146973</v>
      </c>
      <c r="N9" s="41">
        <f t="shared" si="0"/>
        <v>27.1</v>
      </c>
      <c r="O9" s="5">
        <f t="shared" si="9"/>
        <v>500</v>
      </c>
      <c r="P9" s="48">
        <f t="shared" si="1"/>
        <v>27.22</v>
      </c>
      <c r="Q9" s="5">
        <f t="shared" si="2"/>
        <v>500</v>
      </c>
      <c r="R9" s="148">
        <v>700</v>
      </c>
      <c r="S9" s="4">
        <v>3175</v>
      </c>
      <c r="T9" s="4">
        <v>8.8</v>
      </c>
      <c r="U9" s="4">
        <v>6.9</v>
      </c>
      <c r="V9" s="4">
        <v>4.3</v>
      </c>
      <c r="W9" s="5">
        <v>1.6</v>
      </c>
      <c r="AB9" s="9"/>
    </row>
    <row r="10" spans="2:28" ht="12.75">
      <c r="B10" s="76">
        <f t="shared" si="3"/>
        <v>878.84</v>
      </c>
      <c r="C10" s="52">
        <f t="shared" si="4"/>
        <v>1200</v>
      </c>
      <c r="D10" s="30"/>
      <c r="E10" s="30"/>
      <c r="F10" s="50">
        <f>+F9-($D$8-$D$13)/5</f>
        <v>26.1</v>
      </c>
      <c r="G10" s="50">
        <f>+G9-($E$8-$E$13)/5</f>
        <v>14.259999999999998</v>
      </c>
      <c r="H10" s="9">
        <f t="shared" si="5"/>
        <v>600</v>
      </c>
      <c r="I10" s="32"/>
      <c r="J10" s="38">
        <f>+J9-(H10-H9)*0.002</f>
        <v>16.199999618530278</v>
      </c>
      <c r="K10" s="41">
        <f t="shared" si="7"/>
        <v>26.36000038146973</v>
      </c>
      <c r="L10" s="40">
        <f t="shared" si="8"/>
        <v>26.36000038146973</v>
      </c>
      <c r="M10" s="38">
        <f t="shared" si="10"/>
        <v>26.36000038146973</v>
      </c>
      <c r="N10" s="41">
        <f t="shared" si="0"/>
        <v>26.1</v>
      </c>
      <c r="O10" s="5">
        <f t="shared" si="9"/>
        <v>600</v>
      </c>
      <c r="P10" s="48">
        <f t="shared" si="1"/>
        <v>26.18</v>
      </c>
      <c r="Q10" s="5">
        <f t="shared" si="2"/>
        <v>600</v>
      </c>
      <c r="R10" s="148">
        <v>650</v>
      </c>
      <c r="S10" s="4">
        <v>3787</v>
      </c>
      <c r="T10" s="4">
        <v>5.2</v>
      </c>
      <c r="U10" s="4">
        <v>2.1</v>
      </c>
      <c r="V10" s="4">
        <v>45.7</v>
      </c>
      <c r="W10" s="5">
        <v>3.4</v>
      </c>
      <c r="AB10" s="9"/>
    </row>
    <row r="11" spans="2:28" ht="12.75">
      <c r="B11" s="76">
        <f t="shared" si="3"/>
        <v>868.245</v>
      </c>
      <c r="C11" s="52">
        <f t="shared" si="4"/>
        <v>1300</v>
      </c>
      <c r="D11" s="30"/>
      <c r="E11" s="30"/>
      <c r="F11" s="50">
        <f>+F10-($D$8-$D$13)/5</f>
        <v>25.1</v>
      </c>
      <c r="G11" s="50">
        <f>+G10-($E$8-$E$13)/5</f>
        <v>14.039999999999997</v>
      </c>
      <c r="H11" s="9">
        <f t="shared" si="5"/>
        <v>700</v>
      </c>
      <c r="I11" s="32"/>
      <c r="J11" s="38">
        <f t="shared" si="6"/>
        <v>15.999999618530278</v>
      </c>
      <c r="K11" s="41">
        <f t="shared" si="7"/>
        <v>25.320000381469733</v>
      </c>
      <c r="L11" s="40">
        <f t="shared" si="8"/>
        <v>25.320000381469733</v>
      </c>
      <c r="M11" s="38">
        <f t="shared" si="10"/>
        <v>25.320000381469733</v>
      </c>
      <c r="N11" s="41">
        <f t="shared" si="0"/>
        <v>25.1</v>
      </c>
      <c r="O11" s="5">
        <f t="shared" si="9"/>
        <v>700</v>
      </c>
      <c r="P11" s="48">
        <f t="shared" si="1"/>
        <v>25.14</v>
      </c>
      <c r="Q11" s="5">
        <f t="shared" si="2"/>
        <v>700</v>
      </c>
      <c r="R11" s="148">
        <v>600</v>
      </c>
      <c r="S11" s="4">
        <v>4437</v>
      </c>
      <c r="T11" s="4">
        <v>2.5</v>
      </c>
      <c r="U11" s="4">
        <v>-3.8</v>
      </c>
      <c r="V11" s="4">
        <v>63.7</v>
      </c>
      <c r="W11" s="5">
        <v>3.2</v>
      </c>
      <c r="AB11" s="9"/>
    </row>
    <row r="12" spans="2:28" ht="12.75">
      <c r="B12" s="76">
        <f t="shared" si="3"/>
        <v>857.7400000000001</v>
      </c>
      <c r="C12" s="52">
        <f t="shared" si="4"/>
        <v>1400</v>
      </c>
      <c r="D12" s="30"/>
      <c r="E12" s="30"/>
      <c r="F12" s="50">
        <f>+F11-($D$8-$D$13)/5</f>
        <v>24.1</v>
      </c>
      <c r="G12" s="50">
        <f>+G11-($E$8-$E$13)/5</f>
        <v>13.819999999999997</v>
      </c>
      <c r="H12" s="9">
        <f t="shared" si="5"/>
        <v>800</v>
      </c>
      <c r="I12" s="32"/>
      <c r="J12" s="38">
        <f t="shared" si="6"/>
        <v>15.79999961853028</v>
      </c>
      <c r="K12" s="41">
        <f t="shared" si="7"/>
        <v>24.280000381469733</v>
      </c>
      <c r="L12" s="40">
        <f t="shared" si="8"/>
        <v>24.280000381469733</v>
      </c>
      <c r="M12" s="38">
        <f t="shared" si="10"/>
        <v>24.280000381469733</v>
      </c>
      <c r="N12" s="58">
        <f t="shared" si="0"/>
        <v>24.1</v>
      </c>
      <c r="O12" s="5">
        <f t="shared" si="9"/>
        <v>800</v>
      </c>
      <c r="P12" s="58">
        <f>+N12</f>
        <v>24.1</v>
      </c>
      <c r="Q12" s="31">
        <f t="shared" si="2"/>
        <v>800</v>
      </c>
      <c r="R12" s="148">
        <v>550</v>
      </c>
      <c r="S12" s="4">
        <v>5135</v>
      </c>
      <c r="T12" s="4">
        <v>-1.8</v>
      </c>
      <c r="U12" s="4">
        <v>-8.1</v>
      </c>
      <c r="V12" s="4">
        <v>89.3</v>
      </c>
      <c r="W12" s="5">
        <v>2.1</v>
      </c>
      <c r="AB12" s="9"/>
    </row>
    <row r="13" spans="2:23" ht="12.75">
      <c r="B13" s="75">
        <f t="shared" si="3"/>
        <v>847.325</v>
      </c>
      <c r="C13" s="52">
        <f t="shared" si="4"/>
        <v>1500</v>
      </c>
      <c r="D13">
        <f>+T6</f>
        <v>23.1</v>
      </c>
      <c r="E13">
        <f>+U6</f>
        <v>13.6</v>
      </c>
      <c r="F13" s="50">
        <f>+D13</f>
        <v>23.1</v>
      </c>
      <c r="G13" s="50">
        <f>+E13</f>
        <v>13.6</v>
      </c>
      <c r="H13" s="9">
        <f t="shared" si="5"/>
        <v>900</v>
      </c>
      <c r="I13" s="32"/>
      <c r="J13" s="38">
        <f t="shared" si="6"/>
        <v>15.59999961853028</v>
      </c>
      <c r="K13" s="41">
        <f t="shared" si="7"/>
        <v>23.240000381469734</v>
      </c>
      <c r="L13" s="40">
        <f t="shared" si="8"/>
        <v>23.240000381469734</v>
      </c>
      <c r="M13" s="38">
        <f t="shared" si="10"/>
        <v>23.240000381469734</v>
      </c>
      <c r="N13" s="41">
        <f t="shared" si="0"/>
        <v>23.1</v>
      </c>
      <c r="O13" s="5">
        <f t="shared" si="9"/>
        <v>900</v>
      </c>
      <c r="P13" s="41">
        <f>+P12-5</f>
        <v>19.1</v>
      </c>
      <c r="Q13" s="5">
        <f>+Q12</f>
        <v>800</v>
      </c>
      <c r="R13" s="149">
        <v>500</v>
      </c>
      <c r="S13" s="7">
        <v>5887</v>
      </c>
      <c r="T13" s="7">
        <v>-6.3</v>
      </c>
      <c r="U13" s="7">
        <v>-14.8</v>
      </c>
      <c r="V13" s="7">
        <v>92.3</v>
      </c>
      <c r="W13" s="8">
        <v>2.5</v>
      </c>
    </row>
    <row r="14" spans="2:21" ht="12.75">
      <c r="B14" s="76">
        <f t="shared" si="3"/>
        <v>837</v>
      </c>
      <c r="C14" s="52">
        <f t="shared" si="4"/>
        <v>1600</v>
      </c>
      <c r="D14" s="30"/>
      <c r="E14" s="30"/>
      <c r="F14" s="50">
        <f>+F13-($D$13-$D$18)/5</f>
        <v>22.080000000000002</v>
      </c>
      <c r="G14" s="50">
        <f>+G13-($E$13-$E$18)/5</f>
        <v>13.4</v>
      </c>
      <c r="H14" s="9">
        <f t="shared" si="5"/>
        <v>1000</v>
      </c>
      <c r="I14" s="32"/>
      <c r="J14" s="38">
        <f t="shared" si="6"/>
        <v>15.39999961853028</v>
      </c>
      <c r="K14" s="41">
        <f t="shared" si="7"/>
        <v>22.200000381469735</v>
      </c>
      <c r="L14" s="40">
        <f t="shared" si="8"/>
        <v>22.200000381469735</v>
      </c>
      <c r="M14" s="38">
        <f t="shared" si="10"/>
        <v>22.200000381469735</v>
      </c>
      <c r="N14" s="41">
        <f t="shared" si="0"/>
        <v>22.080000000000002</v>
      </c>
      <c r="O14" s="5">
        <f t="shared" si="9"/>
        <v>1000</v>
      </c>
      <c r="P14" s="41">
        <f>+P13-5</f>
        <v>14.100000000000001</v>
      </c>
      <c r="Q14" s="5">
        <f>+Q13</f>
        <v>800</v>
      </c>
      <c r="R14" s="103"/>
      <c r="U14" s="9"/>
    </row>
    <row r="15" spans="2:18" ht="12.75">
      <c r="B15" s="76">
        <f t="shared" si="3"/>
        <v>826.765</v>
      </c>
      <c r="C15" s="52">
        <f t="shared" si="4"/>
        <v>1700</v>
      </c>
      <c r="D15" s="30"/>
      <c r="E15" s="30"/>
      <c r="F15" s="50">
        <f>+F14-($D$13-$D$18)/5</f>
        <v>21.060000000000002</v>
      </c>
      <c r="G15" s="50">
        <f>+G14-($E$13-$E$18)/5</f>
        <v>13.200000000000001</v>
      </c>
      <c r="H15" s="9">
        <f t="shared" si="5"/>
        <v>1100</v>
      </c>
      <c r="I15" s="32"/>
      <c r="J15" s="38">
        <f t="shared" si="6"/>
        <v>15.199999618530281</v>
      </c>
      <c r="K15" s="41">
        <f t="shared" si="7"/>
        <v>21.160000381469736</v>
      </c>
      <c r="L15" s="40">
        <f t="shared" si="8"/>
        <v>21.160000381469736</v>
      </c>
      <c r="M15" s="38">
        <f t="shared" si="10"/>
        <v>21.160000381469736</v>
      </c>
      <c r="N15" s="41">
        <f t="shared" si="0"/>
        <v>21.060000000000002</v>
      </c>
      <c r="O15" s="5">
        <f t="shared" si="9"/>
        <v>1100</v>
      </c>
      <c r="P15" s="41">
        <f>+P14-5</f>
        <v>9.100000000000001</v>
      </c>
      <c r="Q15" s="5">
        <f aca="true" t="shared" si="11" ref="Q15:Q20">+Q14</f>
        <v>800</v>
      </c>
      <c r="R15" s="141" t="s">
        <v>140</v>
      </c>
    </row>
    <row r="16" spans="2:23" ht="12.75">
      <c r="B16" s="76">
        <f t="shared" si="3"/>
        <v>816.62</v>
      </c>
      <c r="C16" s="52">
        <f t="shared" si="4"/>
        <v>1800</v>
      </c>
      <c r="D16" s="30"/>
      <c r="E16" s="30"/>
      <c r="F16" s="50">
        <f>+F15-($D$13-$D$18)/5</f>
        <v>20.040000000000003</v>
      </c>
      <c r="G16" s="50">
        <f>+G15-($E$13-$E$18)/5</f>
        <v>13.000000000000002</v>
      </c>
      <c r="H16" s="9">
        <f t="shared" si="5"/>
        <v>1200</v>
      </c>
      <c r="I16" s="32"/>
      <c r="J16" s="38">
        <f t="shared" si="6"/>
        <v>14.999999618530282</v>
      </c>
      <c r="K16" s="41">
        <f t="shared" si="7"/>
        <v>20.120000381469737</v>
      </c>
      <c r="L16" s="40">
        <f t="shared" si="8"/>
        <v>20.120000381469737</v>
      </c>
      <c r="M16" s="38">
        <f t="shared" si="10"/>
        <v>20.120000381469737</v>
      </c>
      <c r="N16" s="41">
        <f t="shared" si="0"/>
        <v>20.040000000000003</v>
      </c>
      <c r="O16" s="5">
        <f t="shared" si="9"/>
        <v>1200</v>
      </c>
      <c r="P16" s="43"/>
      <c r="Q16" s="5">
        <f t="shared" si="11"/>
        <v>800</v>
      </c>
      <c r="R16" s="102">
        <v>940</v>
      </c>
      <c r="S16">
        <v>688</v>
      </c>
      <c r="T16">
        <v>27</v>
      </c>
      <c r="U16">
        <v>19.4</v>
      </c>
      <c r="V16">
        <v>58.5</v>
      </c>
      <c r="W16">
        <v>2.8</v>
      </c>
    </row>
    <row r="17" spans="2:23" ht="12.75">
      <c r="B17" s="76">
        <f t="shared" si="3"/>
        <v>806.5649999999999</v>
      </c>
      <c r="C17" s="52">
        <f t="shared" si="4"/>
        <v>1900</v>
      </c>
      <c r="D17" s="30"/>
      <c r="E17" s="30"/>
      <c r="F17" s="50">
        <f>+F16-($D$13-$D$18)/5</f>
        <v>19.020000000000003</v>
      </c>
      <c r="G17" s="50">
        <f>+G16-($E$13-$E$18)/5</f>
        <v>12.800000000000002</v>
      </c>
      <c r="H17" s="9">
        <f t="shared" si="5"/>
        <v>1300</v>
      </c>
      <c r="I17" s="32"/>
      <c r="J17" s="38">
        <f t="shared" si="6"/>
        <v>14.799999618530283</v>
      </c>
      <c r="K17" s="41">
        <f t="shared" si="7"/>
        <v>19.080000381469738</v>
      </c>
      <c r="L17" s="40">
        <f t="shared" si="8"/>
        <v>19.080000381469738</v>
      </c>
      <c r="M17" s="38">
        <f t="shared" si="10"/>
        <v>19.080000381469738</v>
      </c>
      <c r="N17" s="41">
        <f t="shared" si="0"/>
        <v>19.020000000000003</v>
      </c>
      <c r="O17" s="5">
        <f t="shared" si="9"/>
        <v>1300</v>
      </c>
      <c r="P17" s="43"/>
      <c r="Q17" s="5">
        <f t="shared" si="11"/>
        <v>800</v>
      </c>
      <c r="R17" s="102">
        <v>925</v>
      </c>
      <c r="S17">
        <v>809</v>
      </c>
      <c r="T17">
        <v>24.8</v>
      </c>
      <c r="U17">
        <v>17.9</v>
      </c>
      <c r="V17">
        <v>59.2</v>
      </c>
      <c r="W17">
        <v>4.6</v>
      </c>
    </row>
    <row r="18" spans="2:23" ht="12.75">
      <c r="B18" s="75">
        <f t="shared" si="3"/>
        <v>796.6</v>
      </c>
      <c r="C18" s="52">
        <f t="shared" si="4"/>
        <v>2000</v>
      </c>
      <c r="D18">
        <f>+T7</f>
        <v>18</v>
      </c>
      <c r="E18">
        <f>+U7</f>
        <v>12.6</v>
      </c>
      <c r="F18" s="50">
        <f>+D18</f>
        <v>18</v>
      </c>
      <c r="G18" s="50">
        <f>+E18</f>
        <v>12.6</v>
      </c>
      <c r="H18" s="9">
        <f t="shared" si="5"/>
        <v>1400</v>
      </c>
      <c r="I18" s="32"/>
      <c r="J18" s="38">
        <f t="shared" si="6"/>
        <v>14.599999618530283</v>
      </c>
      <c r="K18" s="41">
        <f t="shared" si="7"/>
        <v>18.04000038146974</v>
      </c>
      <c r="L18" s="40">
        <f t="shared" si="8"/>
        <v>18.04000038146974</v>
      </c>
      <c r="M18" s="38">
        <f t="shared" si="10"/>
        <v>18.04000038146974</v>
      </c>
      <c r="N18" s="41">
        <f t="shared" si="0"/>
        <v>18</v>
      </c>
      <c r="O18" s="5">
        <f t="shared" si="9"/>
        <v>1400</v>
      </c>
      <c r="P18" s="43"/>
      <c r="Q18" s="5">
        <f t="shared" si="11"/>
        <v>800</v>
      </c>
      <c r="R18" s="102">
        <v>900</v>
      </c>
      <c r="S18">
        <v>1050</v>
      </c>
      <c r="T18">
        <v>23.1</v>
      </c>
      <c r="U18">
        <v>16.2</v>
      </c>
      <c r="V18">
        <v>55.2</v>
      </c>
      <c r="W18">
        <v>6.6</v>
      </c>
    </row>
    <row r="19" spans="2:23" ht="12.75">
      <c r="B19" s="76">
        <f t="shared" si="3"/>
        <v>786.725</v>
      </c>
      <c r="C19" s="52">
        <f t="shared" si="4"/>
        <v>2100</v>
      </c>
      <c r="D19" s="30"/>
      <c r="E19" s="30"/>
      <c r="F19" s="50">
        <f>+F18-($D$18-$D$23)/5</f>
        <v>16.94</v>
      </c>
      <c r="G19" s="50">
        <f>+G18-($E$18-$E$23)/5</f>
        <v>12.36</v>
      </c>
      <c r="H19" s="9">
        <f t="shared" si="5"/>
        <v>1500</v>
      </c>
      <c r="I19" s="32"/>
      <c r="J19" s="38">
        <f t="shared" si="6"/>
        <v>14.399999618530284</v>
      </c>
      <c r="K19" s="41">
        <f t="shared" si="7"/>
        <v>17.00000038146974</v>
      </c>
      <c r="L19" s="40">
        <f t="shared" si="8"/>
        <v>17.00000038146974</v>
      </c>
      <c r="M19" s="38">
        <f t="shared" si="10"/>
        <v>17.00000038146974</v>
      </c>
      <c r="N19" s="41">
        <f t="shared" si="0"/>
        <v>16.94</v>
      </c>
      <c r="O19" s="5">
        <f t="shared" si="9"/>
        <v>1500</v>
      </c>
      <c r="P19" s="3"/>
      <c r="Q19" s="5">
        <f t="shared" si="11"/>
        <v>800</v>
      </c>
      <c r="R19" s="102">
        <v>850</v>
      </c>
      <c r="S19">
        <v>1548</v>
      </c>
      <c r="T19">
        <v>21.1</v>
      </c>
      <c r="U19">
        <v>12</v>
      </c>
      <c r="V19">
        <v>52.6</v>
      </c>
      <c r="W19">
        <v>5.9</v>
      </c>
    </row>
    <row r="20" spans="2:23" ht="12.75">
      <c r="B20" s="76">
        <f t="shared" si="3"/>
        <v>776.94</v>
      </c>
      <c r="C20" s="52">
        <f t="shared" si="4"/>
        <v>2200</v>
      </c>
      <c r="D20" s="30"/>
      <c r="E20" s="30"/>
      <c r="F20" s="50">
        <f>+F19-($D$18-$D$23)/5</f>
        <v>15.88</v>
      </c>
      <c r="G20" s="50">
        <f>+G19-($E$18-$E$23)/5</f>
        <v>12.12</v>
      </c>
      <c r="H20" s="9">
        <f t="shared" si="5"/>
        <v>1600</v>
      </c>
      <c r="I20" s="32"/>
      <c r="J20" s="38">
        <f t="shared" si="6"/>
        <v>14.199999618530285</v>
      </c>
      <c r="K20" s="41">
        <f t="shared" si="7"/>
        <v>15.96000038146974</v>
      </c>
      <c r="L20" s="40">
        <f t="shared" si="8"/>
        <v>15.96000038146974</v>
      </c>
      <c r="M20" s="38">
        <f t="shared" si="10"/>
        <v>15.96000038146974</v>
      </c>
      <c r="N20" s="41">
        <f t="shared" si="0"/>
        <v>15.88</v>
      </c>
      <c r="O20" s="5">
        <f t="shared" si="9"/>
        <v>1600</v>
      </c>
      <c r="P20" s="6"/>
      <c r="Q20" s="8">
        <f t="shared" si="11"/>
        <v>800</v>
      </c>
      <c r="R20" s="102">
        <v>800</v>
      </c>
      <c r="S20">
        <v>2071</v>
      </c>
      <c r="T20">
        <v>17.4</v>
      </c>
      <c r="U20">
        <v>9.2</v>
      </c>
      <c r="V20">
        <v>5.5</v>
      </c>
      <c r="W20">
        <v>3</v>
      </c>
    </row>
    <row r="21" spans="2:23" ht="12.75">
      <c r="B21" s="76">
        <f t="shared" si="3"/>
        <v>767.245</v>
      </c>
      <c r="C21" s="52">
        <f t="shared" si="4"/>
        <v>2300</v>
      </c>
      <c r="D21" s="30"/>
      <c r="E21" s="30"/>
      <c r="F21" s="50">
        <f>+F20-($D$18-$D$23)/5</f>
        <v>14.82</v>
      </c>
      <c r="G21" s="50">
        <f>+G20-($E$18-$E$23)/5</f>
        <v>11.879999999999999</v>
      </c>
      <c r="H21" s="9">
        <f t="shared" si="5"/>
        <v>1700</v>
      </c>
      <c r="I21" s="32"/>
      <c r="J21" s="38">
        <f t="shared" si="6"/>
        <v>13.999999618530286</v>
      </c>
      <c r="K21" s="41">
        <f t="shared" si="7"/>
        <v>14.920000381469741</v>
      </c>
      <c r="L21" s="40">
        <f t="shared" si="8"/>
        <v>14.920000381469741</v>
      </c>
      <c r="M21" s="38">
        <f t="shared" si="10"/>
        <v>14.920000381469741</v>
      </c>
      <c r="N21" s="41">
        <f t="shared" si="0"/>
        <v>14.82</v>
      </c>
      <c r="O21" s="5">
        <f t="shared" si="9"/>
        <v>1700</v>
      </c>
      <c r="R21" s="102">
        <v>750</v>
      </c>
      <c r="S21">
        <v>2618</v>
      </c>
      <c r="T21">
        <v>12.9</v>
      </c>
      <c r="U21">
        <v>7.1</v>
      </c>
      <c r="V21">
        <v>335.1</v>
      </c>
      <c r="W21">
        <v>4.3</v>
      </c>
    </row>
    <row r="22" spans="2:23" ht="12.75">
      <c r="B22" s="76">
        <f t="shared" si="3"/>
        <v>757.64</v>
      </c>
      <c r="C22" s="52">
        <f t="shared" si="4"/>
        <v>2400</v>
      </c>
      <c r="D22" s="30"/>
      <c r="E22" s="30"/>
      <c r="F22" s="50">
        <f>+F21-($D$18-$D$23)/5</f>
        <v>13.76</v>
      </c>
      <c r="G22" s="50">
        <f>+G21-($E$18-$E$23)/5</f>
        <v>11.639999999999999</v>
      </c>
      <c r="H22" s="9">
        <f t="shared" si="5"/>
        <v>1800</v>
      </c>
      <c r="I22" s="32"/>
      <c r="J22" s="38">
        <f t="shared" si="6"/>
        <v>13.799999618530286</v>
      </c>
      <c r="K22" s="41">
        <f t="shared" si="7"/>
        <v>13.880000381469742</v>
      </c>
      <c r="L22" s="40">
        <f t="shared" si="8"/>
        <v>13.880000381469742</v>
      </c>
      <c r="M22" s="38">
        <f t="shared" si="10"/>
        <v>13.880000381469742</v>
      </c>
      <c r="N22" s="41">
        <f t="shared" si="0"/>
        <v>13.76</v>
      </c>
      <c r="O22" s="5">
        <f t="shared" si="9"/>
        <v>1800</v>
      </c>
      <c r="R22" s="102">
        <v>700</v>
      </c>
      <c r="S22">
        <v>3194</v>
      </c>
      <c r="T22">
        <v>8.7</v>
      </c>
      <c r="U22">
        <v>4.9</v>
      </c>
      <c r="V22">
        <v>355.7</v>
      </c>
      <c r="W22">
        <v>2.6</v>
      </c>
    </row>
    <row r="23" spans="2:23" ht="12.75">
      <c r="B23" s="75">
        <f t="shared" si="3"/>
        <v>748.125</v>
      </c>
      <c r="C23" s="52">
        <f t="shared" si="4"/>
        <v>2500</v>
      </c>
      <c r="D23">
        <f>+T8</f>
        <v>12.7</v>
      </c>
      <c r="E23">
        <f>+U8</f>
        <v>11.4</v>
      </c>
      <c r="F23" s="50">
        <f>+D23</f>
        <v>12.7</v>
      </c>
      <c r="G23" s="50">
        <f>+E23</f>
        <v>11.4</v>
      </c>
      <c r="H23" s="9">
        <f t="shared" si="5"/>
        <v>1900</v>
      </c>
      <c r="I23" s="32"/>
      <c r="J23" s="38">
        <f t="shared" si="6"/>
        <v>13.599999618530287</v>
      </c>
      <c r="K23" s="41">
        <f t="shared" si="7"/>
        <v>12.840000381469743</v>
      </c>
      <c r="L23" s="40">
        <f t="shared" si="8"/>
        <v>13.405000381469742</v>
      </c>
      <c r="M23" s="38">
        <f t="shared" si="10"/>
        <v>13.405000381469742</v>
      </c>
      <c r="N23" s="41">
        <f t="shared" si="0"/>
        <v>12.7</v>
      </c>
      <c r="O23" s="5">
        <f t="shared" si="9"/>
        <v>1900</v>
      </c>
      <c r="R23" s="102">
        <v>650</v>
      </c>
      <c r="S23">
        <v>3804</v>
      </c>
      <c r="T23">
        <v>5</v>
      </c>
      <c r="U23">
        <v>2.1</v>
      </c>
      <c r="V23">
        <v>67.5</v>
      </c>
      <c r="W23">
        <v>4.3</v>
      </c>
    </row>
    <row r="24" spans="2:23" ht="12.75">
      <c r="B24" s="76">
        <f t="shared" si="3"/>
        <v>738.6999999999999</v>
      </c>
      <c r="C24" s="52">
        <f t="shared" si="4"/>
        <v>2600</v>
      </c>
      <c r="D24" s="30"/>
      <c r="E24" s="30"/>
      <c r="F24" s="50">
        <f>+F23-($D$23-$D$28)/5</f>
        <v>11.92</v>
      </c>
      <c r="G24" s="50">
        <f>+G23-($E$23-$E$28)/5</f>
        <v>10.5</v>
      </c>
      <c r="H24" s="9">
        <f t="shared" si="5"/>
        <v>2000</v>
      </c>
      <c r="I24" s="32"/>
      <c r="J24" s="38">
        <f t="shared" si="6"/>
        <v>13.399999618530288</v>
      </c>
      <c r="K24" s="41">
        <f t="shared" si="7"/>
        <v>11.800000381469744</v>
      </c>
      <c r="L24" s="40">
        <f t="shared" si="8"/>
        <v>12.930000381469743</v>
      </c>
      <c r="M24" s="38">
        <f t="shared" si="10"/>
        <v>12.930000381469743</v>
      </c>
      <c r="N24" s="41">
        <f t="shared" si="0"/>
        <v>11.92</v>
      </c>
      <c r="O24" s="5">
        <f t="shared" si="9"/>
        <v>2000</v>
      </c>
      <c r="R24" s="102">
        <v>600</v>
      </c>
      <c r="S24">
        <v>4454</v>
      </c>
      <c r="T24">
        <v>1.6</v>
      </c>
      <c r="U24">
        <v>-2.5</v>
      </c>
      <c r="V24">
        <v>89.4</v>
      </c>
      <c r="W24">
        <v>3.8</v>
      </c>
    </row>
    <row r="25" spans="2:23" ht="12.75">
      <c r="B25" s="76">
        <f t="shared" si="3"/>
        <v>729.3649999999999</v>
      </c>
      <c r="C25" s="52">
        <f t="shared" si="4"/>
        <v>2700</v>
      </c>
      <c r="D25" s="30"/>
      <c r="E25" s="30"/>
      <c r="F25" s="50">
        <f>+F24-($D$23-$D$28)/5</f>
        <v>11.14</v>
      </c>
      <c r="G25" s="50">
        <f>+G24-($E$23-$E$28)/5</f>
        <v>9.6</v>
      </c>
      <c r="H25" s="9">
        <f t="shared" si="5"/>
        <v>2100</v>
      </c>
      <c r="I25" s="32"/>
      <c r="J25" s="38">
        <f t="shared" si="6"/>
        <v>13.199999618530288</v>
      </c>
      <c r="K25" s="41">
        <f t="shared" si="7"/>
        <v>10.760000381469744</v>
      </c>
      <c r="L25" s="40">
        <f t="shared" si="8"/>
        <v>12.455000381469743</v>
      </c>
      <c r="M25" s="38">
        <f t="shared" si="10"/>
        <v>12.455000381469743</v>
      </c>
      <c r="N25" s="41">
        <f t="shared" si="0"/>
        <v>11.14</v>
      </c>
      <c r="O25" s="5">
        <f t="shared" si="9"/>
        <v>2100</v>
      </c>
      <c r="R25" s="102">
        <v>550</v>
      </c>
      <c r="S25">
        <v>5150</v>
      </c>
      <c r="T25">
        <v>-2.4</v>
      </c>
      <c r="U25">
        <v>-6.9</v>
      </c>
      <c r="V25">
        <v>177.9</v>
      </c>
      <c r="W25">
        <v>2.3</v>
      </c>
    </row>
    <row r="26" spans="2:23" ht="12.75">
      <c r="B26" s="76">
        <f t="shared" si="3"/>
        <v>720.12</v>
      </c>
      <c r="C26" s="52">
        <f t="shared" si="4"/>
        <v>2800</v>
      </c>
      <c r="D26" s="30"/>
      <c r="E26" s="30"/>
      <c r="F26" s="50">
        <f>+F25-($D$23-$D$28)/5</f>
        <v>10.360000000000001</v>
      </c>
      <c r="G26" s="50">
        <f>+G25-($E$23-$E$28)/5</f>
        <v>8.7</v>
      </c>
      <c r="H26" s="9">
        <f t="shared" si="5"/>
        <v>2200</v>
      </c>
      <c r="I26" s="32"/>
      <c r="J26" s="38">
        <f t="shared" si="6"/>
        <v>12.999999618530289</v>
      </c>
      <c r="K26" s="41">
        <f t="shared" si="7"/>
        <v>9.720000381469745</v>
      </c>
      <c r="L26" s="40">
        <f t="shared" si="8"/>
        <v>11.980000381469743</v>
      </c>
      <c r="M26" s="38">
        <f t="shared" si="10"/>
        <v>11.980000381469743</v>
      </c>
      <c r="N26" s="41">
        <f t="shared" si="0"/>
        <v>10.360000000000001</v>
      </c>
      <c r="O26" s="5">
        <f t="shared" si="9"/>
        <v>2200</v>
      </c>
      <c r="R26" s="102">
        <v>500</v>
      </c>
      <c r="S26">
        <v>5902</v>
      </c>
      <c r="T26">
        <v>-6.7</v>
      </c>
      <c r="U26">
        <v>-14</v>
      </c>
      <c r="V26">
        <v>199.3</v>
      </c>
      <c r="W26">
        <v>4.7</v>
      </c>
    </row>
    <row r="27" spans="2:18" ht="12.75">
      <c r="B27" s="76">
        <f t="shared" si="3"/>
        <v>710.965</v>
      </c>
      <c r="C27" s="52">
        <f t="shared" si="4"/>
        <v>2900</v>
      </c>
      <c r="D27" s="30"/>
      <c r="E27" s="30"/>
      <c r="F27" s="50">
        <f>+F26-($D$23-$D$28)/5</f>
        <v>9.580000000000002</v>
      </c>
      <c r="G27" s="50">
        <f>+G26-($E$23-$E$28)/5</f>
        <v>7.799999999999999</v>
      </c>
      <c r="H27" s="9">
        <f t="shared" si="5"/>
        <v>2300</v>
      </c>
      <c r="I27" s="32"/>
      <c r="J27" s="38">
        <f t="shared" si="6"/>
        <v>12.79999961853029</v>
      </c>
      <c r="K27" s="41">
        <f t="shared" si="7"/>
        <v>8.680000381469746</v>
      </c>
      <c r="L27" s="40">
        <f t="shared" si="8"/>
        <v>11.505000381469744</v>
      </c>
      <c r="M27" s="38">
        <f t="shared" si="10"/>
        <v>11.505000381469744</v>
      </c>
      <c r="N27" s="41">
        <f t="shared" si="0"/>
        <v>9.580000000000002</v>
      </c>
      <c r="O27" s="5">
        <f t="shared" si="9"/>
        <v>2300</v>
      </c>
      <c r="R27" s="103"/>
    </row>
    <row r="28" spans="2:18" ht="12.75">
      <c r="B28" s="75">
        <f t="shared" si="3"/>
        <v>701.9</v>
      </c>
      <c r="C28" s="52">
        <f t="shared" si="4"/>
        <v>3000</v>
      </c>
      <c r="D28">
        <f aca="true" t="shared" si="12" ref="D28:E32">+T9</f>
        <v>8.8</v>
      </c>
      <c r="E28">
        <f t="shared" si="12"/>
        <v>6.9</v>
      </c>
      <c r="F28" s="50">
        <f>+D28</f>
        <v>8.8</v>
      </c>
      <c r="G28" s="50">
        <f>+E28</f>
        <v>6.9</v>
      </c>
      <c r="H28" s="9">
        <f t="shared" si="5"/>
        <v>2400</v>
      </c>
      <c r="I28" s="32"/>
      <c r="J28" s="38">
        <f t="shared" si="6"/>
        <v>12.59999961853029</v>
      </c>
      <c r="K28" s="41">
        <f t="shared" si="7"/>
        <v>7.640000381469746</v>
      </c>
      <c r="L28" s="40">
        <f t="shared" si="8"/>
        <v>11.030000381469744</v>
      </c>
      <c r="M28" s="38">
        <f t="shared" si="10"/>
        <v>11.030000381469744</v>
      </c>
      <c r="N28" s="41">
        <f t="shared" si="0"/>
        <v>8.8</v>
      </c>
      <c r="O28" s="5">
        <f t="shared" si="9"/>
        <v>2400</v>
      </c>
      <c r="R28" s="141" t="s">
        <v>141</v>
      </c>
    </row>
    <row r="29" spans="2:23" ht="12.75">
      <c r="B29" s="75">
        <f t="shared" si="3"/>
        <v>649.4</v>
      </c>
      <c r="C29" s="52">
        <f t="shared" si="4"/>
        <v>3600</v>
      </c>
      <c r="D29">
        <f t="shared" si="12"/>
        <v>5.2</v>
      </c>
      <c r="E29">
        <f t="shared" si="12"/>
        <v>2.1</v>
      </c>
      <c r="F29" s="50">
        <f aca="true" t="shared" si="13" ref="F29:G32">+D29</f>
        <v>5.2</v>
      </c>
      <c r="G29" s="50">
        <f t="shared" si="13"/>
        <v>2.1</v>
      </c>
      <c r="H29" s="9">
        <f>+H28+600</f>
        <v>3000</v>
      </c>
      <c r="I29" s="32"/>
      <c r="J29" s="38">
        <f t="shared" si="6"/>
        <v>11.399999618530291</v>
      </c>
      <c r="K29" s="41">
        <f t="shared" si="7"/>
        <v>1.4000003814697468</v>
      </c>
      <c r="L29" s="40">
        <f>+IF(K29&gt;J29,K29,L28-(H29-H28)*0.00475)</f>
        <v>8.180000381469744</v>
      </c>
      <c r="M29" s="38">
        <f t="shared" si="10"/>
        <v>8.180000381469744</v>
      </c>
      <c r="N29" s="41">
        <f t="shared" si="0"/>
        <v>5.2</v>
      </c>
      <c r="O29" s="5">
        <f t="shared" si="9"/>
        <v>3000</v>
      </c>
      <c r="R29" s="102">
        <v>940</v>
      </c>
      <c r="S29">
        <v>688</v>
      </c>
      <c r="T29">
        <v>27</v>
      </c>
      <c r="U29">
        <v>19.4</v>
      </c>
      <c r="V29">
        <v>58.5</v>
      </c>
      <c r="W29">
        <v>2.8</v>
      </c>
    </row>
    <row r="30" spans="2:23" ht="12.75">
      <c r="B30" s="75">
        <f t="shared" si="3"/>
        <v>608.125</v>
      </c>
      <c r="C30" s="52">
        <f t="shared" si="4"/>
        <v>4100</v>
      </c>
      <c r="D30">
        <f t="shared" si="12"/>
        <v>2.5</v>
      </c>
      <c r="E30">
        <f t="shared" si="12"/>
        <v>-3.8</v>
      </c>
      <c r="F30" s="50">
        <f t="shared" si="13"/>
        <v>2.5</v>
      </c>
      <c r="G30" s="50">
        <f t="shared" si="13"/>
        <v>-3.8</v>
      </c>
      <c r="H30" s="9">
        <f>+H29+500</f>
        <v>3500</v>
      </c>
      <c r="I30" s="32"/>
      <c r="J30" s="38">
        <f t="shared" si="6"/>
        <v>10.399999618530291</v>
      </c>
      <c r="K30" s="41">
        <f t="shared" si="7"/>
        <v>-3.7999996185302534</v>
      </c>
      <c r="L30" s="40">
        <f t="shared" si="8"/>
        <v>5.805000381469744</v>
      </c>
      <c r="M30" s="38">
        <f t="shared" si="10"/>
        <v>5.805000381469744</v>
      </c>
      <c r="N30" s="41">
        <f t="shared" si="0"/>
        <v>2.5</v>
      </c>
      <c r="O30" s="5">
        <f t="shared" si="9"/>
        <v>3500</v>
      </c>
      <c r="R30" s="102">
        <v>925</v>
      </c>
      <c r="S30">
        <v>809</v>
      </c>
      <c r="T30">
        <v>24.8</v>
      </c>
      <c r="U30">
        <v>17.9</v>
      </c>
      <c r="V30">
        <v>59.2</v>
      </c>
      <c r="W30">
        <v>4.6</v>
      </c>
    </row>
    <row r="31" spans="2:23" ht="12.75">
      <c r="B31" s="75">
        <f t="shared" si="3"/>
        <v>554.1200000000001</v>
      </c>
      <c r="C31" s="52">
        <f t="shared" si="4"/>
        <v>4800</v>
      </c>
      <c r="D31">
        <f t="shared" si="12"/>
        <v>-1.8</v>
      </c>
      <c r="E31">
        <f t="shared" si="12"/>
        <v>-8.1</v>
      </c>
      <c r="F31" s="50">
        <f t="shared" si="13"/>
        <v>-1.8</v>
      </c>
      <c r="G31" s="50">
        <f t="shared" si="13"/>
        <v>-8.1</v>
      </c>
      <c r="H31" s="9">
        <f>+H30+700</f>
        <v>4200</v>
      </c>
      <c r="I31" s="32"/>
      <c r="J31" s="38">
        <f t="shared" si="6"/>
        <v>8.99999961853029</v>
      </c>
      <c r="K31" s="41">
        <f t="shared" si="7"/>
        <v>-11.079999618530252</v>
      </c>
      <c r="L31" s="40">
        <f t="shared" si="8"/>
        <v>2.4800003814697447</v>
      </c>
      <c r="M31" s="38">
        <f t="shared" si="10"/>
        <v>2.4800003814697447</v>
      </c>
      <c r="N31" s="41">
        <f t="shared" si="0"/>
        <v>-1.8</v>
      </c>
      <c r="O31" s="5">
        <f t="shared" si="9"/>
        <v>4200</v>
      </c>
      <c r="R31" s="102">
        <v>900</v>
      </c>
      <c r="S31">
        <v>1050</v>
      </c>
      <c r="T31">
        <v>23.1</v>
      </c>
      <c r="U31">
        <v>16.2</v>
      </c>
      <c r="V31">
        <v>55.2</v>
      </c>
      <c r="W31">
        <v>6.6</v>
      </c>
    </row>
    <row r="32" spans="2:23" ht="12.75">
      <c r="B32" s="77">
        <f t="shared" si="3"/>
        <v>504.525</v>
      </c>
      <c r="C32" s="53">
        <f t="shared" si="4"/>
        <v>5500</v>
      </c>
      <c r="D32">
        <f t="shared" si="12"/>
        <v>-6.3</v>
      </c>
      <c r="E32">
        <f t="shared" si="12"/>
        <v>-14.8</v>
      </c>
      <c r="F32" s="51">
        <f t="shared" si="13"/>
        <v>-6.3</v>
      </c>
      <c r="G32" s="51">
        <f t="shared" si="13"/>
        <v>-14.8</v>
      </c>
      <c r="H32" s="24">
        <f>+H31+700</f>
        <v>4900</v>
      </c>
      <c r="I32" s="33"/>
      <c r="J32" s="39">
        <f t="shared" si="6"/>
        <v>7.5999996185302905</v>
      </c>
      <c r="K32" s="42">
        <f t="shared" si="7"/>
        <v>-18.359999618530253</v>
      </c>
      <c r="L32" s="25">
        <f t="shared" si="8"/>
        <v>-0.8449996185302551</v>
      </c>
      <c r="M32" s="39">
        <f t="shared" si="10"/>
        <v>-0.8449996185302551</v>
      </c>
      <c r="N32" s="42">
        <f t="shared" si="0"/>
        <v>-6.3</v>
      </c>
      <c r="O32" s="8">
        <f t="shared" si="9"/>
        <v>4900</v>
      </c>
      <c r="R32" s="102">
        <v>850</v>
      </c>
      <c r="S32">
        <v>1548</v>
      </c>
      <c r="T32">
        <v>21.1</v>
      </c>
      <c r="U32">
        <v>12</v>
      </c>
      <c r="V32">
        <v>52.6</v>
      </c>
      <c r="W32">
        <v>5.9</v>
      </c>
    </row>
    <row r="33" spans="2:23" ht="12.75" customHeight="1">
      <c r="B33" s="10" t="s">
        <v>62</v>
      </c>
      <c r="I33" s="12"/>
      <c r="R33" s="102">
        <v>800</v>
      </c>
      <c r="S33">
        <v>2071</v>
      </c>
      <c r="T33">
        <v>17.4</v>
      </c>
      <c r="U33">
        <v>9.2</v>
      </c>
      <c r="V33">
        <v>5.5</v>
      </c>
      <c r="W33">
        <v>3</v>
      </c>
    </row>
    <row r="34" spans="9:23" ht="12.75" customHeight="1">
      <c r="I34" s="12"/>
      <c r="R34" s="102">
        <v>750</v>
      </c>
      <c r="S34">
        <v>2618</v>
      </c>
      <c r="T34">
        <v>12.9</v>
      </c>
      <c r="U34">
        <v>7.1</v>
      </c>
      <c r="V34">
        <v>335.1</v>
      </c>
      <c r="W34">
        <v>4.3</v>
      </c>
    </row>
    <row r="35" spans="2:23" ht="12.75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R35" s="102">
        <v>700</v>
      </c>
      <c r="S35">
        <v>3194</v>
      </c>
      <c r="T35">
        <v>8.7</v>
      </c>
      <c r="U35">
        <v>4.9</v>
      </c>
      <c r="V35">
        <v>355.7</v>
      </c>
      <c r="W35">
        <v>2.6</v>
      </c>
    </row>
    <row r="36" spans="2:23" ht="12.75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R36" s="102">
        <v>650</v>
      </c>
      <c r="S36">
        <v>3804</v>
      </c>
      <c r="T36">
        <v>5</v>
      </c>
      <c r="U36">
        <v>2.1</v>
      </c>
      <c r="V36">
        <v>67.5</v>
      </c>
      <c r="W36">
        <v>4.3</v>
      </c>
    </row>
    <row r="37" spans="2:23" ht="12.75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R37" s="102">
        <v>600</v>
      </c>
      <c r="S37">
        <v>4454</v>
      </c>
      <c r="T37">
        <v>1.6</v>
      </c>
      <c r="U37">
        <v>-2.5</v>
      </c>
      <c r="V37">
        <v>89.4</v>
      </c>
      <c r="W37">
        <v>3.8</v>
      </c>
    </row>
    <row r="38" spans="2:23" ht="12.75">
      <c r="B38" s="10" t="s">
        <v>171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R38" s="102">
        <v>550</v>
      </c>
      <c r="S38">
        <v>5150</v>
      </c>
      <c r="T38">
        <v>-2.4</v>
      </c>
      <c r="U38">
        <v>-6.9</v>
      </c>
      <c r="V38">
        <v>177.9</v>
      </c>
      <c r="W38">
        <v>2.3</v>
      </c>
    </row>
    <row r="39" spans="2:23" ht="12.75">
      <c r="B39" s="10" t="s">
        <v>172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R39" s="102">
        <v>500</v>
      </c>
      <c r="S39">
        <v>5902</v>
      </c>
      <c r="T39">
        <v>-6.7</v>
      </c>
      <c r="U39">
        <v>-14</v>
      </c>
      <c r="V39">
        <v>199.3</v>
      </c>
      <c r="W39">
        <v>4.7</v>
      </c>
    </row>
    <row r="40" spans="2:18" ht="12.75">
      <c r="B40" s="10" t="s">
        <v>173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R40" s="103"/>
    </row>
    <row r="41" spans="3:18" ht="12.75">
      <c r="C41" s="10"/>
      <c r="D41" s="10"/>
      <c r="E41" s="10"/>
      <c r="F41" s="10"/>
      <c r="G41" s="10"/>
      <c r="H41" s="10"/>
      <c r="I41" s="10"/>
      <c r="J41" s="10"/>
      <c r="K41" s="10"/>
      <c r="L41" s="10"/>
      <c r="R41" s="10" t="s">
        <v>142</v>
      </c>
    </row>
    <row r="42" spans="3:23" ht="12.75">
      <c r="C42" s="10"/>
      <c r="D42" s="10"/>
      <c r="E42" s="10"/>
      <c r="F42" s="10"/>
      <c r="G42" s="10"/>
      <c r="H42" s="10"/>
      <c r="I42" s="10"/>
      <c r="J42" s="10"/>
      <c r="K42" s="10"/>
      <c r="L42" s="10"/>
      <c r="R42" s="102">
        <v>935</v>
      </c>
      <c r="S42" s="103">
        <v>688</v>
      </c>
      <c r="T42">
        <v>31.6</v>
      </c>
      <c r="U42">
        <v>17.5</v>
      </c>
      <c r="V42">
        <v>40.5</v>
      </c>
      <c r="W42">
        <v>1.4</v>
      </c>
    </row>
    <row r="43" spans="18:23" ht="12.75">
      <c r="R43" s="102">
        <v>925</v>
      </c>
      <c r="S43">
        <v>778</v>
      </c>
      <c r="T43">
        <v>30.4</v>
      </c>
      <c r="U43">
        <v>15.3</v>
      </c>
      <c r="V43">
        <v>38.5</v>
      </c>
      <c r="W43">
        <v>2.1</v>
      </c>
    </row>
    <row r="44" spans="2:23" ht="12.75">
      <c r="B44" s="10" t="s">
        <v>37</v>
      </c>
      <c r="R44" s="102">
        <v>900</v>
      </c>
      <c r="S44">
        <v>1022</v>
      </c>
      <c r="T44">
        <v>28.1</v>
      </c>
      <c r="U44">
        <v>14.7</v>
      </c>
      <c r="V44">
        <v>32.7</v>
      </c>
      <c r="W44">
        <v>2.5</v>
      </c>
    </row>
    <row r="45" spans="2:23" ht="12.75">
      <c r="B45" s="10" t="s">
        <v>47</v>
      </c>
      <c r="R45" s="102">
        <v>850</v>
      </c>
      <c r="S45">
        <v>1525</v>
      </c>
      <c r="T45">
        <v>23.1</v>
      </c>
      <c r="U45">
        <v>13.6</v>
      </c>
      <c r="V45">
        <v>28.7</v>
      </c>
      <c r="W45">
        <v>2.8</v>
      </c>
    </row>
    <row r="46" spans="18:23" ht="12.75">
      <c r="R46" s="102">
        <v>800</v>
      </c>
      <c r="S46">
        <v>2051</v>
      </c>
      <c r="T46">
        <v>18</v>
      </c>
      <c r="U46">
        <v>12.6</v>
      </c>
      <c r="V46">
        <v>24.8</v>
      </c>
      <c r="W46">
        <v>2.8</v>
      </c>
    </row>
    <row r="47" spans="18:23" ht="12.75">
      <c r="R47" s="102">
        <v>750</v>
      </c>
      <c r="S47">
        <v>2598</v>
      </c>
      <c r="T47">
        <v>12.7</v>
      </c>
      <c r="U47">
        <v>11.4</v>
      </c>
      <c r="V47">
        <v>9.2</v>
      </c>
      <c r="W47">
        <v>2.6</v>
      </c>
    </row>
    <row r="48" spans="18:23" ht="12.75">
      <c r="R48" s="102">
        <v>700</v>
      </c>
      <c r="S48">
        <v>3175</v>
      </c>
      <c r="T48">
        <v>8.8</v>
      </c>
      <c r="U48">
        <v>6.9</v>
      </c>
      <c r="V48">
        <v>4.3</v>
      </c>
      <c r="W48">
        <v>1.6</v>
      </c>
    </row>
    <row r="49" spans="18:23" ht="12.75">
      <c r="R49" s="102">
        <v>650</v>
      </c>
      <c r="S49">
        <v>3787</v>
      </c>
      <c r="T49">
        <v>5.2</v>
      </c>
      <c r="U49">
        <v>2.1</v>
      </c>
      <c r="V49">
        <v>45.7</v>
      </c>
      <c r="W49">
        <v>3.4</v>
      </c>
    </row>
    <row r="50" spans="18:23" ht="12.75">
      <c r="R50" s="102">
        <v>600</v>
      </c>
      <c r="S50">
        <v>4437</v>
      </c>
      <c r="T50">
        <v>2.5</v>
      </c>
      <c r="U50">
        <v>-3.8</v>
      </c>
      <c r="V50">
        <v>63.7</v>
      </c>
      <c r="W50">
        <v>3.2</v>
      </c>
    </row>
    <row r="51" spans="18:23" ht="12.75">
      <c r="R51" s="102">
        <v>550</v>
      </c>
      <c r="S51">
        <v>5135</v>
      </c>
      <c r="T51">
        <v>-1.8</v>
      </c>
      <c r="U51">
        <v>-8.1</v>
      </c>
      <c r="V51">
        <v>89.3</v>
      </c>
      <c r="W51">
        <v>2.1</v>
      </c>
    </row>
    <row r="52" spans="18:23" ht="12.75">
      <c r="R52" s="102">
        <v>500</v>
      </c>
      <c r="S52">
        <v>5887</v>
      </c>
      <c r="T52">
        <v>-6.3</v>
      </c>
      <c r="U52">
        <v>-14.8</v>
      </c>
      <c r="V52">
        <v>92.3</v>
      </c>
      <c r="W52">
        <v>2.5</v>
      </c>
    </row>
    <row r="53" ht="12.75">
      <c r="R53" s="103"/>
    </row>
    <row r="61" ht="15">
      <c r="R61" s="80"/>
    </row>
  </sheetData>
  <sheetProtection/>
  <printOptions/>
  <pageMargins left="0.787401575" right="0.787401575" top="0.984251969" bottom="0.984251969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"/>
  <dimension ref="A18:V49"/>
  <sheetViews>
    <sheetView zoomScale="75" zoomScaleNormal="75" zoomScalePageLayoutView="0" workbookViewId="0" topLeftCell="A23">
      <selection activeCell="S55" sqref="S55"/>
    </sheetView>
  </sheetViews>
  <sheetFormatPr defaultColWidth="9.140625" defaultRowHeight="12.75"/>
  <sheetData>
    <row r="18" ht="12.75">
      <c r="F18" s="10" t="s">
        <v>117</v>
      </c>
    </row>
    <row r="19" ht="12.75">
      <c r="F19" s="10">
        <v>16</v>
      </c>
    </row>
    <row r="20" spans="5:6" ht="12.75">
      <c r="E20" s="133" t="s">
        <v>11</v>
      </c>
      <c r="F20" s="134">
        <v>15</v>
      </c>
    </row>
    <row r="21" spans="1:6" ht="12.75">
      <c r="A21" t="s">
        <v>27</v>
      </c>
      <c r="E21" s="19" t="s">
        <v>28</v>
      </c>
      <c r="F21" s="66">
        <f>VLOOKUP(Análise!F20,'Meteog.'!$B$13:$F$25,5)</f>
        <v>32.60000038146973</v>
      </c>
    </row>
    <row r="22" spans="1:6" ht="12.75">
      <c r="A22" s="67" t="s">
        <v>10</v>
      </c>
      <c r="B22" s="23">
        <f>+IF('Sond.'!I4=0,'Sond.'!D4,'Sond.'!I4)</f>
        <v>31.6</v>
      </c>
      <c r="C22" s="14" t="s">
        <v>0</v>
      </c>
      <c r="E22" s="19" t="s">
        <v>26</v>
      </c>
      <c r="F22" s="66">
        <f>VLOOKUP(Análise!F20,'Meteog.'!$B$13:$H$25,6)</f>
        <v>42.599998474121094</v>
      </c>
    </row>
    <row r="23" spans="1:6" ht="12.75">
      <c r="A23" s="64" t="s">
        <v>6</v>
      </c>
      <c r="B23" s="68">
        <v>50</v>
      </c>
      <c r="C23" s="23">
        <f>+(0.0331*B22+14.872)*LN(B23)-67.243+0.7825*B22</f>
        <v>19.75542571948502</v>
      </c>
      <c r="E23" s="19" t="s">
        <v>29</v>
      </c>
      <c r="F23" s="66">
        <f>VLOOKUP(Análise!F20,'Meteog.'!$B$13:$H$25,7)</f>
        <v>17.399999618530273</v>
      </c>
    </row>
    <row r="25" ht="12.75">
      <c r="C25" s="10" t="s">
        <v>36</v>
      </c>
    </row>
    <row r="26" spans="3:18" ht="12.75">
      <c r="C26" s="13" t="s">
        <v>34</v>
      </c>
      <c r="D26" s="1"/>
      <c r="E26" s="2"/>
      <c r="F26" s="65">
        <v>1800</v>
      </c>
      <c r="R26" s="10"/>
    </row>
    <row r="27" spans="3:22" ht="15.75">
      <c r="C27" s="24" t="s">
        <v>35</v>
      </c>
      <c r="D27" s="7"/>
      <c r="E27" s="7"/>
      <c r="F27" s="19">
        <f>0.0013*F26-0.25</f>
        <v>2.09</v>
      </c>
      <c r="H27" s="93" t="s">
        <v>98</v>
      </c>
      <c r="I27" s="94">
        <f>+'Sond.'!P4</f>
        <v>32.419999999999995</v>
      </c>
      <c r="J27" s="18" t="s">
        <v>174</v>
      </c>
      <c r="S27" s="10"/>
      <c r="U27">
        <v>0</v>
      </c>
      <c r="V27">
        <v>8</v>
      </c>
    </row>
    <row r="28" spans="21:22" ht="12.75">
      <c r="U28">
        <v>0.63</v>
      </c>
      <c r="V28">
        <v>7</v>
      </c>
    </row>
    <row r="29" spans="21:22" ht="12.75">
      <c r="U29">
        <v>1.3</v>
      </c>
      <c r="V29">
        <v>6</v>
      </c>
    </row>
    <row r="30" spans="2:22" ht="12.75">
      <c r="B30" s="10" t="s">
        <v>64</v>
      </c>
      <c r="C30" s="10"/>
      <c r="D30" s="10"/>
      <c r="E30" s="10"/>
      <c r="F30" s="10"/>
      <c r="G30" s="10"/>
      <c r="H30" s="10"/>
      <c r="I30" s="10"/>
      <c r="L30" s="10" t="s">
        <v>97</v>
      </c>
      <c r="N30" s="91">
        <f>+'Sond.'!D13-'Sond.'!D32+'Sond.'!E13-('Sond.'!J28-'Sond.'!E28)</f>
        <v>37.30000038146971</v>
      </c>
      <c r="O30" t="s">
        <v>100</v>
      </c>
      <c r="U30">
        <v>2</v>
      </c>
      <c r="V30">
        <v>5</v>
      </c>
    </row>
    <row r="31" spans="2:22" ht="12.75">
      <c r="B31" s="10" t="s">
        <v>65</v>
      </c>
      <c r="C31" s="10"/>
      <c r="D31" s="10"/>
      <c r="E31" s="10"/>
      <c r="F31" s="10"/>
      <c r="G31" s="10"/>
      <c r="H31" s="10"/>
      <c r="I31" s="10"/>
      <c r="L31" s="92" t="s">
        <v>89</v>
      </c>
      <c r="M31" t="s">
        <v>90</v>
      </c>
      <c r="U31">
        <v>2.9</v>
      </c>
      <c r="V31">
        <v>4</v>
      </c>
    </row>
    <row r="32" spans="2:22" ht="12.75">
      <c r="B32" s="10" t="s">
        <v>66</v>
      </c>
      <c r="C32" s="10"/>
      <c r="D32" s="10"/>
      <c r="E32" s="10"/>
      <c r="F32" s="10"/>
      <c r="G32" s="10"/>
      <c r="H32" s="10"/>
      <c r="I32" s="10"/>
      <c r="L32" s="92" t="s">
        <v>88</v>
      </c>
      <c r="M32" t="s">
        <v>93</v>
      </c>
      <c r="U32">
        <v>3.9</v>
      </c>
      <c r="V32">
        <v>3</v>
      </c>
    </row>
    <row r="33" spans="2:22" ht="12.75">
      <c r="B33" s="10" t="s">
        <v>73</v>
      </c>
      <c r="C33" s="10"/>
      <c r="D33" s="10"/>
      <c r="E33" s="10"/>
      <c r="F33" s="10"/>
      <c r="G33" s="10"/>
      <c r="H33" s="10"/>
      <c r="I33" s="10"/>
      <c r="K33" s="10"/>
      <c r="L33" s="92" t="s">
        <v>87</v>
      </c>
      <c r="M33" s="10" t="s">
        <v>85</v>
      </c>
      <c r="U33">
        <v>5.1</v>
      </c>
      <c r="V33">
        <v>2</v>
      </c>
    </row>
    <row r="34" spans="2:22" ht="12.75">
      <c r="B34" s="10"/>
      <c r="C34" s="10"/>
      <c r="D34" s="10"/>
      <c r="E34" s="10"/>
      <c r="F34" s="10"/>
      <c r="G34" s="10"/>
      <c r="H34" s="10"/>
      <c r="I34" s="10"/>
      <c r="L34" s="92" t="s">
        <v>86</v>
      </c>
      <c r="M34" t="s">
        <v>96</v>
      </c>
      <c r="U34">
        <v>6.8</v>
      </c>
      <c r="V34">
        <v>1</v>
      </c>
    </row>
    <row r="35" spans="2:13" ht="12.75">
      <c r="B35" s="10" t="s">
        <v>55</v>
      </c>
      <c r="C35" s="10"/>
      <c r="D35" s="10"/>
      <c r="E35" s="10"/>
      <c r="F35" s="10"/>
      <c r="G35" s="10"/>
      <c r="H35" s="10"/>
      <c r="I35" s="10"/>
      <c r="L35" s="92" t="s">
        <v>91</v>
      </c>
      <c r="M35" t="s">
        <v>94</v>
      </c>
    </row>
    <row r="36" spans="2:13" ht="12.75">
      <c r="B36" s="10" t="s">
        <v>56</v>
      </c>
      <c r="C36" s="10"/>
      <c r="D36" s="10"/>
      <c r="E36" s="10"/>
      <c r="F36" s="10"/>
      <c r="G36" s="10"/>
      <c r="H36" s="10"/>
      <c r="I36" s="10"/>
      <c r="L36" s="92" t="s">
        <v>92</v>
      </c>
      <c r="M36" t="s">
        <v>95</v>
      </c>
    </row>
    <row r="37" spans="2:9" ht="12.75">
      <c r="B37" s="10" t="s">
        <v>58</v>
      </c>
      <c r="C37" s="10"/>
      <c r="D37" s="10"/>
      <c r="E37" s="10"/>
      <c r="F37" s="10"/>
      <c r="G37" s="10"/>
      <c r="H37" s="10"/>
      <c r="I37" s="10"/>
    </row>
    <row r="38" spans="2:9" ht="12.75">
      <c r="B38" s="10" t="s">
        <v>57</v>
      </c>
      <c r="C38" s="10"/>
      <c r="D38" s="10"/>
      <c r="E38" s="10"/>
      <c r="F38" s="10"/>
      <c r="G38" s="10"/>
      <c r="H38" s="10"/>
      <c r="I38" s="10"/>
    </row>
    <row r="39" spans="2:9" ht="12.75">
      <c r="B39" s="10" t="s">
        <v>59</v>
      </c>
      <c r="C39" s="10"/>
      <c r="D39" s="10"/>
      <c r="E39" s="10"/>
      <c r="F39" s="10"/>
      <c r="G39" s="10"/>
      <c r="H39" s="10"/>
      <c r="I39" s="10"/>
    </row>
    <row r="40" spans="2:9" ht="12.75">
      <c r="B40" s="10" t="s">
        <v>69</v>
      </c>
      <c r="C40" s="10"/>
      <c r="D40" s="10"/>
      <c r="E40" s="10"/>
      <c r="F40" s="10"/>
      <c r="G40" s="10"/>
      <c r="H40" s="10"/>
      <c r="I40" s="10"/>
    </row>
    <row r="41" spans="2:9" ht="12.75">
      <c r="B41" s="10" t="s">
        <v>52</v>
      </c>
      <c r="C41" s="10"/>
      <c r="D41" s="10"/>
      <c r="E41" s="10"/>
      <c r="F41" s="10"/>
      <c r="G41" s="10"/>
      <c r="H41" s="10"/>
      <c r="I41" s="10"/>
    </row>
    <row r="42" spans="2:9" ht="12.75">
      <c r="B42" s="10" t="s">
        <v>53</v>
      </c>
      <c r="C42" s="10"/>
      <c r="D42" s="10"/>
      <c r="E42" s="10"/>
      <c r="F42" s="10"/>
      <c r="G42" s="10"/>
      <c r="H42" s="10"/>
      <c r="I42" s="10"/>
    </row>
    <row r="43" spans="2:9" ht="12.75">
      <c r="B43" s="10" t="s">
        <v>54</v>
      </c>
      <c r="C43" s="10"/>
      <c r="D43" s="10"/>
      <c r="E43" s="10"/>
      <c r="F43" s="10"/>
      <c r="G43" s="10"/>
      <c r="H43" s="10"/>
      <c r="I43" s="10"/>
    </row>
    <row r="44" spans="2:9" ht="12.75">
      <c r="B44" s="10" t="s">
        <v>70</v>
      </c>
      <c r="C44" s="10"/>
      <c r="D44" s="10"/>
      <c r="E44" s="10"/>
      <c r="F44" s="10"/>
      <c r="G44" s="10"/>
      <c r="H44" s="10"/>
      <c r="I44" s="10"/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2:9" ht="12.75">
      <c r="B46" s="10" t="s">
        <v>164</v>
      </c>
      <c r="C46" s="10"/>
      <c r="D46" s="10"/>
      <c r="E46" s="10"/>
      <c r="F46" s="10"/>
      <c r="G46" s="10"/>
      <c r="H46" s="10"/>
      <c r="I46" s="10"/>
    </row>
    <row r="47" spans="2:9" ht="12.75">
      <c r="B47" s="10" t="s">
        <v>168</v>
      </c>
      <c r="C47" s="10"/>
      <c r="D47" s="10"/>
      <c r="E47" s="10"/>
      <c r="F47" s="10"/>
      <c r="G47" s="10"/>
      <c r="H47" s="10"/>
      <c r="I47" s="10"/>
    </row>
    <row r="48" spans="2:7" ht="12.75">
      <c r="B48" s="10" t="s">
        <v>162</v>
      </c>
      <c r="C48" s="10"/>
      <c r="D48" s="10"/>
      <c r="E48" s="10"/>
      <c r="F48" s="10"/>
      <c r="G48" s="10"/>
    </row>
    <row r="49" ht="12.75">
      <c r="B49" s="10" t="s">
        <v>163</v>
      </c>
    </row>
  </sheetData>
  <sheetProtection/>
  <printOptions/>
  <pageMargins left="0.787401575" right="0.787401575" top="0.984251969" bottom="0.984251969" header="0.492125985" footer="0.49212598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8"/>
  <dimension ref="A2:R18"/>
  <sheetViews>
    <sheetView tabSelected="1" zoomScale="75" zoomScaleNormal="75" zoomScalePageLayoutView="0" workbookViewId="0" topLeftCell="A1">
      <selection activeCell="Q10" sqref="Q10"/>
    </sheetView>
  </sheetViews>
  <sheetFormatPr defaultColWidth="9.140625" defaultRowHeight="12.75"/>
  <cols>
    <col min="2" max="10" width="13.7109375" style="0" customWidth="1"/>
    <col min="11" max="14" width="10.7109375" style="0" customWidth="1"/>
  </cols>
  <sheetData>
    <row r="1" ht="6.75" customHeight="1"/>
    <row r="2" spans="2:10" ht="27" customHeight="1">
      <c r="B2" s="105" t="s">
        <v>155</v>
      </c>
      <c r="C2" s="104"/>
      <c r="D2" s="104"/>
      <c r="E2" s="104"/>
      <c r="F2" s="104"/>
      <c r="G2" s="104"/>
      <c r="H2" s="104"/>
      <c r="I2" s="104"/>
      <c r="J2" s="104"/>
    </row>
    <row r="3" spans="2:10" ht="23.25">
      <c r="B3" s="106" t="s">
        <v>159</v>
      </c>
      <c r="C3" s="107"/>
      <c r="D3" s="107"/>
      <c r="E3" s="107"/>
      <c r="F3" s="107"/>
      <c r="G3" s="107"/>
      <c r="H3" s="107"/>
      <c r="I3" s="107"/>
      <c r="J3" s="108"/>
    </row>
    <row r="4" spans="2:10" ht="23.25" customHeight="1">
      <c r="B4" s="111"/>
      <c r="C4" s="109" t="s">
        <v>145</v>
      </c>
      <c r="D4" s="104"/>
      <c r="E4" s="137"/>
      <c r="F4" s="110"/>
      <c r="G4" s="110"/>
      <c r="H4" s="110"/>
      <c r="I4" s="110"/>
      <c r="J4" s="142"/>
    </row>
    <row r="5" spans="2:10" ht="54.75" customHeight="1">
      <c r="B5" s="111">
        <v>3000</v>
      </c>
      <c r="C5" s="112"/>
      <c r="D5" s="112"/>
      <c r="E5" s="112"/>
      <c r="F5" s="112"/>
      <c r="G5" s="112"/>
      <c r="H5" s="112" t="s">
        <v>119</v>
      </c>
      <c r="I5" s="112"/>
      <c r="J5" s="113"/>
    </row>
    <row r="6" spans="2:14" ht="54.75" customHeight="1">
      <c r="B6" s="111">
        <v>2500</v>
      </c>
      <c r="C6" s="112" t="s">
        <v>119</v>
      </c>
      <c r="D6" s="112" t="s">
        <v>119</v>
      </c>
      <c r="E6" s="112" t="s">
        <v>119</v>
      </c>
      <c r="F6" s="112" t="s">
        <v>119</v>
      </c>
      <c r="G6" s="112" t="s">
        <v>119</v>
      </c>
      <c r="H6" s="112" t="s">
        <v>119</v>
      </c>
      <c r="I6" s="112" t="s">
        <v>119</v>
      </c>
      <c r="J6" s="113"/>
      <c r="L6" s="16"/>
      <c r="M6" s="16"/>
      <c r="N6" s="16"/>
    </row>
    <row r="7" spans="2:14" ht="54.75" customHeight="1">
      <c r="B7" s="111">
        <v>2000</v>
      </c>
      <c r="C7" s="112"/>
      <c r="D7" s="112"/>
      <c r="E7" s="112"/>
      <c r="F7" s="112"/>
      <c r="G7" s="112"/>
      <c r="H7" s="112"/>
      <c r="I7" s="112"/>
      <c r="J7" s="113"/>
      <c r="L7" s="16"/>
      <c r="M7" s="16"/>
      <c r="N7" s="16"/>
    </row>
    <row r="8" spans="2:14" ht="54.75" customHeight="1">
      <c r="B8" s="111">
        <v>1500</v>
      </c>
      <c r="C8" s="112"/>
      <c r="D8" s="112"/>
      <c r="E8" s="112"/>
      <c r="F8" s="112"/>
      <c r="G8" s="112"/>
      <c r="H8" s="112"/>
      <c r="I8" s="112"/>
      <c r="J8" s="113"/>
      <c r="L8" s="16"/>
      <c r="M8" s="16"/>
      <c r="N8" s="16"/>
    </row>
    <row r="9" spans="2:14" ht="54.75" customHeight="1">
      <c r="B9" s="111">
        <v>1000</v>
      </c>
      <c r="C9" s="112"/>
      <c r="D9" s="112"/>
      <c r="E9" s="112"/>
      <c r="F9" s="112"/>
      <c r="G9" s="112"/>
      <c r="H9" s="114"/>
      <c r="I9" s="115"/>
      <c r="J9" s="113"/>
      <c r="L9" s="16"/>
      <c r="M9" s="16"/>
      <c r="N9" s="16"/>
    </row>
    <row r="10" spans="2:14" ht="54.75" customHeight="1">
      <c r="B10" s="111">
        <v>500</v>
      </c>
      <c r="C10" s="112"/>
      <c r="D10" s="112"/>
      <c r="E10" s="112"/>
      <c r="F10" s="112"/>
      <c r="G10" s="112"/>
      <c r="H10" s="129"/>
      <c r="I10" s="130"/>
      <c r="J10" s="113"/>
      <c r="L10" s="16"/>
      <c r="M10" s="16"/>
      <c r="N10" s="16"/>
    </row>
    <row r="11" spans="2:14" ht="54.75" customHeight="1">
      <c r="B11" s="111">
        <v>0</v>
      </c>
      <c r="C11" s="135"/>
      <c r="D11" s="136"/>
      <c r="E11" s="116"/>
      <c r="F11" s="116"/>
      <c r="G11" s="112"/>
      <c r="H11" s="129"/>
      <c r="I11" s="112"/>
      <c r="J11" s="113"/>
      <c r="L11" s="16"/>
      <c r="M11" s="16"/>
      <c r="N11" s="16"/>
    </row>
    <row r="12" spans="1:10" ht="18">
      <c r="A12" s="17"/>
      <c r="B12" s="117" t="s">
        <v>79</v>
      </c>
      <c r="C12" s="118">
        <v>10</v>
      </c>
      <c r="D12" s="117">
        <v>11</v>
      </c>
      <c r="E12" s="119">
        <v>12</v>
      </c>
      <c r="F12" s="117">
        <v>13</v>
      </c>
      <c r="G12" s="119">
        <v>14</v>
      </c>
      <c r="H12" s="117">
        <v>15</v>
      </c>
      <c r="I12" s="119">
        <v>16</v>
      </c>
      <c r="J12" s="117">
        <v>17</v>
      </c>
    </row>
    <row r="13" spans="2:10" s="98" customFormat="1" ht="18">
      <c r="B13" s="122">
        <v>5</v>
      </c>
      <c r="C13" s="120" t="s">
        <v>114</v>
      </c>
      <c r="D13" s="122"/>
      <c r="E13" s="122">
        <v>6</v>
      </c>
      <c r="F13" s="123"/>
      <c r="G13" s="122"/>
      <c r="H13" s="122">
        <v>3</v>
      </c>
      <c r="I13" s="140"/>
      <c r="J13" s="140"/>
    </row>
    <row r="14" spans="2:10" s="96" customFormat="1" ht="18">
      <c r="B14" s="124" t="s">
        <v>112</v>
      </c>
      <c r="C14" s="125" t="s">
        <v>101</v>
      </c>
      <c r="D14" s="139">
        <v>1.5</v>
      </c>
      <c r="E14" s="139">
        <v>2</v>
      </c>
      <c r="F14" s="139">
        <v>2</v>
      </c>
      <c r="G14" s="139">
        <v>2.5</v>
      </c>
      <c r="H14" s="139">
        <v>2</v>
      </c>
      <c r="I14" s="139">
        <v>1</v>
      </c>
      <c r="J14" s="126"/>
    </row>
    <row r="15" spans="2:18" s="29" customFormat="1" ht="18">
      <c r="B15" s="127" t="s">
        <v>113</v>
      </c>
      <c r="C15" s="128"/>
      <c r="D15" s="138"/>
      <c r="E15" s="138" t="s">
        <v>156</v>
      </c>
      <c r="F15" s="138" t="s">
        <v>153</v>
      </c>
      <c r="G15" s="138" t="s">
        <v>153</v>
      </c>
      <c r="H15" s="138" t="s">
        <v>157</v>
      </c>
      <c r="I15" s="138" t="s">
        <v>146</v>
      </c>
      <c r="J15" s="138"/>
      <c r="L15" s="138" t="s">
        <v>146</v>
      </c>
      <c r="M15" s="138" t="s">
        <v>146</v>
      </c>
      <c r="N15" s="138" t="s">
        <v>146</v>
      </c>
      <c r="O15" s="138" t="s">
        <v>153</v>
      </c>
      <c r="P15" s="138" t="s">
        <v>153</v>
      </c>
      <c r="Q15" s="138" t="s">
        <v>146</v>
      </c>
      <c r="R15" s="138" t="s">
        <v>153</v>
      </c>
    </row>
    <row r="16" spans="2:10" s="96" customFormat="1" ht="18">
      <c r="B16" s="120" t="s">
        <v>158</v>
      </c>
      <c r="C16" s="120"/>
      <c r="D16" s="121"/>
      <c r="E16" s="104"/>
      <c r="F16" s="104"/>
      <c r="G16" s="121"/>
      <c r="H16" s="121"/>
      <c r="I16" s="121"/>
      <c r="J16" s="121"/>
    </row>
    <row r="17" spans="1:11" ht="18">
      <c r="A17" s="93" t="s">
        <v>115</v>
      </c>
      <c r="B17" s="118">
        <v>10</v>
      </c>
      <c r="C17" s="117">
        <v>11</v>
      </c>
      <c r="D17" s="118">
        <v>12</v>
      </c>
      <c r="E17" s="117">
        <v>13</v>
      </c>
      <c r="F17" s="119">
        <v>14</v>
      </c>
      <c r="G17" s="117">
        <v>15</v>
      </c>
      <c r="H17" s="119">
        <v>16</v>
      </c>
      <c r="I17" s="117">
        <v>17</v>
      </c>
      <c r="J17" s="119">
        <v>18</v>
      </c>
      <c r="K17" s="117">
        <v>19</v>
      </c>
    </row>
    <row r="18" spans="1:12" ht="18">
      <c r="A18" s="131" t="s">
        <v>116</v>
      </c>
      <c r="B18" s="132">
        <v>13</v>
      </c>
      <c r="C18" s="132">
        <v>14</v>
      </c>
      <c r="D18" s="126">
        <v>15</v>
      </c>
      <c r="E18" s="132">
        <v>16</v>
      </c>
      <c r="F18" s="132">
        <v>17</v>
      </c>
      <c r="G18" s="126">
        <v>18</v>
      </c>
      <c r="H18" s="132">
        <v>19</v>
      </c>
      <c r="I18" s="132">
        <v>20</v>
      </c>
      <c r="J18" s="132">
        <v>21</v>
      </c>
      <c r="K18" s="132">
        <v>22</v>
      </c>
      <c r="L18" s="29"/>
    </row>
  </sheetData>
  <sheetProtection/>
  <printOptions/>
  <pageMargins left="1.535433070866142" right="0.7874015748031497" top="0.984251968503937" bottom="0.984251968503937" header="0.5118110236220472" footer="0.5118110236220472"/>
  <pageSetup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Plan7"/>
  <dimension ref="A3:N12"/>
  <sheetViews>
    <sheetView zoomScalePageLayoutView="0" workbookViewId="0" topLeftCell="A6">
      <selection activeCell="H12" sqref="H12"/>
    </sheetView>
  </sheetViews>
  <sheetFormatPr defaultColWidth="9.140625" defaultRowHeight="12.75"/>
  <cols>
    <col min="2" max="10" width="13.7109375" style="0" customWidth="1"/>
    <col min="11" max="14" width="10.7109375" style="0" customWidth="1"/>
  </cols>
  <sheetData>
    <row r="3" spans="2:10" ht="26.25">
      <c r="B3" s="78"/>
      <c r="C3" s="81" t="s">
        <v>80</v>
      </c>
      <c r="D3" s="1"/>
      <c r="E3" s="1"/>
      <c r="F3" s="1"/>
      <c r="G3" s="1"/>
      <c r="H3" s="1"/>
      <c r="I3" s="1"/>
      <c r="J3" s="2"/>
    </row>
    <row r="4" spans="2:10" ht="23.25" customHeight="1">
      <c r="B4" s="82" t="s">
        <v>2</v>
      </c>
      <c r="C4" s="4"/>
      <c r="D4" s="83" t="s">
        <v>103</v>
      </c>
      <c r="E4" s="4"/>
      <c r="F4" s="4"/>
      <c r="G4" s="4"/>
      <c r="H4" s="4"/>
      <c r="I4" s="4"/>
      <c r="J4" s="5"/>
    </row>
    <row r="5" spans="2:14" ht="99.75" customHeight="1">
      <c r="B5" s="84" t="s">
        <v>3</v>
      </c>
      <c r="C5" s="16"/>
      <c r="D5" s="16"/>
      <c r="E5" s="16"/>
      <c r="F5" s="16"/>
      <c r="G5" s="16"/>
      <c r="H5" s="16"/>
      <c r="I5" s="16"/>
      <c r="J5" s="85"/>
      <c r="L5" s="16"/>
      <c r="M5" s="16"/>
      <c r="N5" s="16"/>
    </row>
    <row r="6" spans="2:14" ht="99.75" customHeight="1">
      <c r="B6" s="84" t="s">
        <v>4</v>
      </c>
      <c r="C6" s="16"/>
      <c r="D6" s="16"/>
      <c r="E6" s="16"/>
      <c r="F6" s="16"/>
      <c r="G6" s="16"/>
      <c r="H6" s="16"/>
      <c r="I6" s="16"/>
      <c r="J6" s="85"/>
      <c r="L6" s="16"/>
      <c r="M6" s="16"/>
      <c r="N6" s="16"/>
    </row>
    <row r="7" spans="2:14" ht="99.75" customHeight="1">
      <c r="B7" s="84" t="s">
        <v>5</v>
      </c>
      <c r="C7" s="16"/>
      <c r="D7" s="16"/>
      <c r="E7" s="16"/>
      <c r="F7" s="16"/>
      <c r="G7" s="16"/>
      <c r="H7" s="16"/>
      <c r="I7" s="16"/>
      <c r="J7" s="85"/>
      <c r="L7" s="16"/>
      <c r="M7" s="16"/>
      <c r="N7" s="16"/>
    </row>
    <row r="8" spans="2:14" ht="99.75" customHeight="1">
      <c r="B8" s="84">
        <v>0</v>
      </c>
      <c r="C8" s="86"/>
      <c r="D8" s="86"/>
      <c r="E8" s="86"/>
      <c r="F8" s="86"/>
      <c r="G8" s="86"/>
      <c r="H8" s="86"/>
      <c r="I8" s="86"/>
      <c r="J8" s="87"/>
      <c r="L8" s="16"/>
      <c r="M8" s="16"/>
      <c r="N8" s="16"/>
    </row>
    <row r="9" spans="1:10" ht="18">
      <c r="A9" s="99"/>
      <c r="B9" s="88" t="s">
        <v>79</v>
      </c>
      <c r="C9" s="88">
        <v>11</v>
      </c>
      <c r="D9" s="89">
        <v>12</v>
      </c>
      <c r="E9" s="88">
        <v>13</v>
      </c>
      <c r="F9" s="89">
        <v>14</v>
      </c>
      <c r="G9" s="88">
        <v>15</v>
      </c>
      <c r="H9" s="89">
        <v>16</v>
      </c>
      <c r="I9" s="88">
        <v>17</v>
      </c>
      <c r="J9" s="88">
        <v>18</v>
      </c>
    </row>
    <row r="10" spans="2:10" ht="15.75">
      <c r="B10" s="93"/>
      <c r="C10" s="4"/>
      <c r="D10" s="4"/>
      <c r="E10" s="4"/>
      <c r="F10" s="4"/>
      <c r="G10" s="4"/>
      <c r="H10" s="4"/>
      <c r="I10" s="4"/>
      <c r="J10" s="4"/>
    </row>
    <row r="12" ht="12.75">
      <c r="H12" s="18" t="s">
        <v>152</v>
      </c>
    </row>
  </sheetData>
  <sheetProtection/>
  <printOptions/>
  <pageMargins left="0.787401575" right="0.787401575" top="0.984251969" bottom="0.984251969" header="0.5" footer="0.5"/>
  <pageSetup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Francisco Leme Galvao</dc:creator>
  <cp:keywords/>
  <dc:description/>
  <cp:lastModifiedBy>Usuário do Windows</cp:lastModifiedBy>
  <cp:lastPrinted>2008-10-01T12:53:05Z</cp:lastPrinted>
  <dcterms:created xsi:type="dcterms:W3CDTF">2008-08-07T21:37:04Z</dcterms:created>
  <dcterms:modified xsi:type="dcterms:W3CDTF">2020-08-08T12:44:03Z</dcterms:modified>
  <cp:category/>
  <cp:version/>
  <cp:contentType/>
  <cp:contentStatus/>
</cp:coreProperties>
</file>